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codeName="ThisWorkbook"/>
  <mc:AlternateContent xmlns:mc="http://schemas.openxmlformats.org/markup-compatibility/2006">
    <mc:Choice Requires="x15">
      <x15ac:absPath xmlns:x15ac="http://schemas.microsoft.com/office/spreadsheetml/2010/11/ac" url="/Users/gblake/VMware, Inc/ISBU VVD Dev Tools Team - General/Dev Tools - Testbed Deployment Details/Master XLS Files/"/>
    </mc:Choice>
  </mc:AlternateContent>
  <xr:revisionPtr revIDLastSave="212" documentId="6_{66E93B7E-692A-3749-B547-74A3558D83DA}" xr6:coauthVersionLast="43" xr6:coauthVersionMax="43" xr10:uidLastSave="{C55D2111-0C7E-9142-98C6-E3A3B987BCF7}"/>
  <bookViews>
    <workbookView xWindow="0" yWindow="460" windowWidth="33600" windowHeight="19420" tabRatio="932" xr2:uid="{00000000-000D-0000-FFFF-FFFF00000000}"/>
  </bookViews>
  <sheets>
    <sheet name="Prerequisite Checklist" sheetId="22" r:id="rId1"/>
    <sheet name="Management Workloads" sheetId="17" r:id="rId2"/>
    <sheet name="Users and Groups" sheetId="15" r:id="rId3"/>
    <sheet name="Hosts and Networks" sheetId="4" r:id="rId4"/>
    <sheet name="Deploy Parameters" sheetId="2" r:id="rId5"/>
    <sheet name="Stretched Cluster Host Routes" sheetId="33" r:id="rId6"/>
    <sheet name="Config_File_Build" sheetId="16" state="hidden" r:id="rId7"/>
    <sheet name="Change Log" sheetId="32" state="hidden" r:id="rId8"/>
  </sheets>
  <definedNames>
    <definedName name="Authentication" localSheetId="0">#REF!</definedName>
    <definedName name="Authentication">#REF!</definedName>
    <definedName name="Configuration_Mode" localSheetId="0">#REF!</definedName>
    <definedName name="Database_Type" localSheetId="0">#REF!</definedName>
    <definedName name="_xlnm.Print_Area" localSheetId="4">'Deploy Parameters'!$B$1:$D$41</definedName>
    <definedName name="_xlnm.Print_Area" localSheetId="2">'Users and Groups'!$B$1:$B$1</definedName>
    <definedName name="SRM_Certificates" localSheetId="1">#REF!</definedName>
    <definedName name="SRM_Certificates" localSheetId="0">#REF!</definedName>
    <definedName name="SSL_Policy" localSheetId="1">#REF!</definedName>
    <definedName name="SSL_Policy" localSheetId="0">#REF!</definedName>
    <definedName name="System_Type" localSheetId="1">#REF!</definedName>
    <definedName name="System_Type" localSheetId="0">#REF!</definedName>
    <definedName name="Timezone_Index">#REF!</definedName>
    <definedName name="valuevx">42.314159</definedName>
    <definedName name="VR_Database_Type" localSheetId="1">#REF!</definedName>
    <definedName name="VR_Database_Type" localSheetId="0">#REF!</definedName>
    <definedName name="vRB_Currencie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0" i="17" l="1"/>
  <c r="K19" i="17"/>
  <c r="K14" i="17"/>
  <c r="K13" i="17"/>
  <c r="K12" i="17"/>
  <c r="K11" i="17"/>
  <c r="K9" i="17"/>
  <c r="A80" i="16" l="1"/>
  <c r="D23" i="33" l="1"/>
  <c r="B44" i="2" l="1"/>
  <c r="B38" i="2"/>
  <c r="B31" i="2"/>
  <c r="B17" i="2"/>
  <c r="B12" i="2"/>
  <c r="B11" i="2"/>
  <c r="A4" i="16" l="1"/>
  <c r="A135" i="16" l="1"/>
  <c r="A136" i="16"/>
  <c r="A3" i="16" l="1"/>
  <c r="A8" i="16" l="1"/>
  <c r="A277" i="16" l="1"/>
  <c r="A276" i="16"/>
  <c r="A275" i="16"/>
  <c r="A274" i="16"/>
  <c r="C24" i="33" l="1"/>
  <c r="C23" i="33"/>
  <c r="D19" i="33"/>
  <c r="D18" i="33"/>
  <c r="D24" i="33" s="1"/>
  <c r="C19" i="33"/>
  <c r="E19" i="33" s="1"/>
  <c r="C18" i="33"/>
  <c r="E18" i="33" s="1"/>
  <c r="D14" i="33"/>
  <c r="D13" i="33"/>
  <c r="C14" i="33"/>
  <c r="E14" i="33" s="1"/>
  <c r="C13" i="33"/>
  <c r="E13" i="33" s="1"/>
  <c r="E24" i="33" l="1"/>
  <c r="E23" i="33"/>
  <c r="A117" i="16"/>
  <c r="A207" i="16" l="1"/>
  <c r="A206" i="16"/>
  <c r="A205" i="16"/>
  <c r="A202" i="16"/>
  <c r="A201" i="16"/>
  <c r="A200" i="16"/>
  <c r="A66" i="16" l="1"/>
  <c r="A65" i="16"/>
  <c r="A217" i="16" l="1"/>
  <c r="A219" i="16"/>
  <c r="A123" i="16" l="1"/>
  <c r="A263" i="16"/>
  <c r="A177" i="16"/>
  <c r="B7" i="2" l="1"/>
  <c r="A26" i="16"/>
  <c r="A25" i="16"/>
  <c r="A93" i="16" l="1"/>
  <c r="A92" i="16"/>
  <c r="A91" i="16"/>
  <c r="A53" i="16" l="1"/>
  <c r="A52" i="16"/>
  <c r="E18" i="17" l="1"/>
  <c r="D18" i="17"/>
  <c r="F8" i="17"/>
  <c r="E8" i="17"/>
  <c r="D8" i="17"/>
  <c r="A83" i="16" l="1"/>
  <c r="A90" i="16"/>
  <c r="A88" i="16"/>
  <c r="A87" i="16"/>
  <c r="A86" i="16"/>
  <c r="A85" i="16"/>
  <c r="A96" i="16"/>
  <c r="H16" i="4"/>
  <c r="H15" i="4"/>
  <c r="H14" i="4"/>
  <c r="H13" i="4"/>
  <c r="E20" i="17" l="1"/>
  <c r="E19" i="17"/>
  <c r="D20" i="17"/>
  <c r="D19" i="17"/>
  <c r="A283" i="16"/>
  <c r="A64" i="16" l="1"/>
  <c r="A164" i="16" l="1"/>
  <c r="A163" i="16" l="1"/>
  <c r="A162" i="16"/>
  <c r="A161" i="16"/>
  <c r="B10" i="2" l="1"/>
  <c r="A17" i="16"/>
  <c r="A124" i="16"/>
  <c r="A120" i="16"/>
  <c r="A69" i="16"/>
  <c r="A127" i="16"/>
  <c r="A128" i="16"/>
  <c r="A2" i="16"/>
  <c r="A132" i="16"/>
  <c r="A131" i="16"/>
  <c r="A41" i="16"/>
  <c r="A40" i="16"/>
  <c r="A204" i="16"/>
  <c r="A203" i="16"/>
  <c r="A199" i="16"/>
  <c r="A198" i="16"/>
  <c r="A170" i="16"/>
  <c r="A253" i="16"/>
  <c r="A251" i="16"/>
  <c r="A16" i="16"/>
  <c r="F21" i="17"/>
  <c r="E21" i="17"/>
  <c r="D21" i="17"/>
  <c r="G20" i="17"/>
  <c r="G19" i="17"/>
  <c r="G18" i="17"/>
  <c r="A244" i="16"/>
  <c r="A243" i="16"/>
  <c r="A241" i="16"/>
  <c r="A242" i="16"/>
  <c r="A20" i="17"/>
  <c r="A19" i="17"/>
  <c r="A18" i="17"/>
  <c r="A266" i="16"/>
  <c r="B37" i="2"/>
  <c r="B36" i="2"/>
  <c r="A267" i="16"/>
  <c r="A269" i="16"/>
  <c r="B35" i="2"/>
  <c r="A247" i="16"/>
  <c r="A248" i="16"/>
  <c r="A268" i="16"/>
  <c r="A246" i="16"/>
  <c r="A61" i="16"/>
  <c r="A60" i="16"/>
  <c r="A195" i="16"/>
  <c r="A15" i="17"/>
  <c r="G14" i="17"/>
  <c r="A122" i="16"/>
  <c r="A121" i="16"/>
  <c r="A47" i="16"/>
  <c r="A46" i="16"/>
  <c r="A44" i="16"/>
  <c r="A45" i="16"/>
  <c r="B43" i="2"/>
  <c r="B42" i="2"/>
  <c r="B16" i="2"/>
  <c r="A39" i="16"/>
  <c r="A38" i="16"/>
  <c r="A37" i="16"/>
  <c r="B32" i="2"/>
  <c r="B30" i="2"/>
  <c r="A285" i="16"/>
  <c r="J29" i="17"/>
  <c r="J32" i="17" s="1"/>
  <c r="A75" i="16"/>
  <c r="A185" i="16"/>
  <c r="A10" i="16"/>
  <c r="A12" i="16"/>
  <c r="A14" i="16"/>
  <c r="A15" i="16"/>
  <c r="A21" i="16"/>
  <c r="A22" i="16"/>
  <c r="A29" i="16"/>
  <c r="A32" i="16"/>
  <c r="A56" i="16"/>
  <c r="A58" i="16"/>
  <c r="A71" i="16"/>
  <c r="A74" i="16"/>
  <c r="A78" i="16"/>
  <c r="A97" i="16"/>
  <c r="A98" i="16"/>
  <c r="A99" i="16"/>
  <c r="A100" i="16"/>
  <c r="A101" i="16"/>
  <c r="A102" i="16"/>
  <c r="A103" i="16"/>
  <c r="A104" i="16"/>
  <c r="A105" i="16"/>
  <c r="A106" i="16"/>
  <c r="A107" i="16"/>
  <c r="A108" i="16"/>
  <c r="A109" i="16"/>
  <c r="A110" i="16"/>
  <c r="A111" i="16"/>
  <c r="A113" i="16"/>
  <c r="A114" i="16"/>
  <c r="A116" i="16"/>
  <c r="A145" i="16"/>
  <c r="A151" i="16"/>
  <c r="A152" i="16"/>
  <c r="A153" i="16"/>
  <c r="A154" i="16"/>
  <c r="A155" i="16"/>
  <c r="A156" i="16"/>
  <c r="A157" i="16"/>
  <c r="A158" i="16"/>
  <c r="A174" i="16"/>
  <c r="A175" i="16"/>
  <c r="A176" i="16"/>
  <c r="A178" i="16"/>
  <c r="A181" i="16"/>
  <c r="A182" i="16"/>
  <c r="A189" i="16"/>
  <c r="A191" i="16"/>
  <c r="A193" i="16"/>
  <c r="A211" i="16"/>
  <c r="A213" i="16"/>
  <c r="A215" i="16"/>
  <c r="A222" i="16"/>
  <c r="A223" i="16"/>
  <c r="A224" i="16"/>
  <c r="A225" i="16"/>
  <c r="A234" i="16"/>
  <c r="A235" i="16"/>
  <c r="A236" i="16"/>
  <c r="A262" i="16"/>
  <c r="A139" i="16"/>
  <c r="B19" i="2"/>
  <c r="A148" i="16"/>
  <c r="B21" i="2"/>
  <c r="A9" i="17"/>
  <c r="A260" i="16"/>
  <c r="F16" i="17"/>
  <c r="E16" i="17"/>
  <c r="D16" i="17"/>
  <c r="B8" i="2"/>
  <c r="H32" i="2"/>
  <c r="G12" i="17"/>
  <c r="G13" i="17"/>
  <c r="G15" i="17"/>
  <c r="G9" i="17"/>
  <c r="G10" i="17"/>
  <c r="G11" i="17"/>
  <c r="J36" i="17"/>
  <c r="J37" i="17"/>
  <c r="E43" i="17"/>
  <c r="E44" i="17" s="1"/>
  <c r="E31" i="17"/>
  <c r="H30" i="2"/>
  <c r="B20" i="2"/>
  <c r="B9" i="2"/>
  <c r="B6" i="2"/>
  <c r="B18" i="2"/>
  <c r="J30" i="17"/>
  <c r="B15" i="2"/>
  <c r="A228" i="16"/>
  <c r="A261" i="16"/>
  <c r="B29" i="2"/>
  <c r="A11" i="17"/>
  <c r="A167" i="16"/>
  <c r="A140" i="16"/>
  <c r="A10" i="17"/>
  <c r="A169" i="16"/>
  <c r="A8" i="17"/>
  <c r="A259" i="16"/>
  <c r="A171" i="16"/>
  <c r="A258" i="16"/>
  <c r="A231" i="16"/>
  <c r="A230" i="16"/>
  <c r="A229" i="16"/>
  <c r="F25" i="17" l="1"/>
  <c r="F26" i="17" s="1"/>
  <c r="E25" i="17"/>
  <c r="E34" i="17" s="1"/>
  <c r="E36" i="17" s="1"/>
  <c r="D25" i="17"/>
  <c r="E46" i="17" s="1"/>
  <c r="E37" i="17" l="1"/>
  <c r="E38" i="17" s="1"/>
  <c r="E4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 Balfanz</author>
  </authors>
  <commentList>
    <comment ref="B14" authorId="0" shapeId="0" xr:uid="{D5D7F0DC-59F4-C84C-BECD-127825BB0C8F}">
      <text>
        <r>
          <rPr>
            <b/>
            <sz val="9"/>
            <color rgb="FF000000"/>
            <rFont val="Tahoma"/>
            <family val="2"/>
          </rPr>
          <t>Note:</t>
        </r>
        <r>
          <rPr>
            <sz val="9"/>
            <color rgb="FF000000"/>
            <rFont val="Tahoma"/>
            <family val="2"/>
          </rPr>
          <t xml:space="preserve">
</t>
        </r>
        <r>
          <rPr>
            <sz val="9"/>
            <color rgb="FF000000"/>
            <rFont val="Tahoma"/>
            <family val="2"/>
          </rPr>
          <t xml:space="preserve">Not required - Already populated from VCF Script
</t>
        </r>
      </text>
    </comment>
    <comment ref="B19" authorId="0" shapeId="0" xr:uid="{9DF8D05F-75AA-F74A-B2FD-8FBDEED103F5}">
      <text>
        <r>
          <rPr>
            <b/>
            <sz val="9"/>
            <color rgb="FF000000"/>
            <rFont val="Tahoma"/>
            <family val="2"/>
          </rPr>
          <t>Note:</t>
        </r>
        <r>
          <rPr>
            <sz val="9"/>
            <color rgb="FF000000"/>
            <rFont val="Tahoma"/>
            <family val="2"/>
          </rPr>
          <t xml:space="preserve">
</t>
        </r>
        <r>
          <rPr>
            <sz val="9"/>
            <color rgb="FF000000"/>
            <rFont val="Tahoma"/>
            <family val="2"/>
          </rPr>
          <t xml:space="preserve">Not required - Already populated by VCF Stretch Script
</t>
        </r>
      </text>
    </comment>
  </commentList>
</comments>
</file>

<file path=xl/sharedStrings.xml><?xml version="1.0" encoding="utf-8"?>
<sst xmlns="http://schemas.openxmlformats.org/spreadsheetml/2006/main" count="531" uniqueCount="445">
  <si>
    <t>IP Address</t>
  </si>
  <si>
    <t>NSX</t>
  </si>
  <si>
    <t>Infrastructure Information</t>
  </si>
  <si>
    <t>Hosts</t>
  </si>
  <si>
    <t>VLAN #</t>
  </si>
  <si>
    <t>Description</t>
  </si>
  <si>
    <t>Gateway</t>
  </si>
  <si>
    <t>n/a</t>
  </si>
  <si>
    <t>Status</t>
  </si>
  <si>
    <t>Notes</t>
  </si>
  <si>
    <t>Management Cluster</t>
  </si>
  <si>
    <t>root</t>
  </si>
  <si>
    <t xml:space="preserve">NSX Manager </t>
  </si>
  <si>
    <t>Hostname</t>
  </si>
  <si>
    <t>NSX Controller IP Pool Start Address</t>
  </si>
  <si>
    <t>NSX Controller IP Pool End Address</t>
  </si>
  <si>
    <t>IP Pool for NSX Controllers</t>
  </si>
  <si>
    <t>Username</t>
  </si>
  <si>
    <t>Users</t>
  </si>
  <si>
    <t>vRealize Log Insight</t>
  </si>
  <si>
    <t>Value</t>
  </si>
  <si>
    <t>Infrastructure</t>
  </si>
  <si>
    <t>vCenter Objects</t>
  </si>
  <si>
    <t>vSphere Infrastructure</t>
  </si>
  <si>
    <t>vCenter Server</t>
  </si>
  <si>
    <t>MTU</t>
  </si>
  <si>
    <t># Default credentials for all ESXi servers, all installations must have the same user name and password.</t>
  </si>
  <si>
    <t># Management network settings</t>
  </si>
  <si>
    <t># Static IPs on the management network</t>
  </si>
  <si>
    <t># IP pools on the main network</t>
  </si>
  <si>
    <t>VM Network</t>
  </si>
  <si>
    <t>Proposed VM Name</t>
  </si>
  <si>
    <t>Application</t>
  </si>
  <si>
    <t>Operating System</t>
  </si>
  <si>
    <t>vCPUs</t>
  </si>
  <si>
    <t>vRAM</t>
  </si>
  <si>
    <t>Storage</t>
  </si>
  <si>
    <t>Version</t>
  </si>
  <si>
    <t>Virtual Appliance</t>
  </si>
  <si>
    <t>NSX Manager(Management Cluster)</t>
  </si>
  <si>
    <t>vCPU</t>
  </si>
  <si>
    <t>Total Resources</t>
  </si>
  <si>
    <t>Total with 30% free</t>
  </si>
  <si>
    <t>Cluster Configuration</t>
  </si>
  <si>
    <t>Storage Calculation</t>
  </si>
  <si>
    <t>Total Hosts</t>
  </si>
  <si>
    <t>GB</t>
  </si>
  <si>
    <t>Host Failure</t>
  </si>
  <si>
    <t>FTT</t>
  </si>
  <si>
    <t>Remaining Hosts</t>
  </si>
  <si>
    <t>Overhead</t>
  </si>
  <si>
    <t>%</t>
  </si>
  <si>
    <t>Host Config</t>
  </si>
  <si>
    <t>Disks per host</t>
  </si>
  <si>
    <t>Host Memory Utilization</t>
  </si>
  <si>
    <t>Host Utilization Host Down</t>
  </si>
  <si>
    <t>Host Memory Utilization Host Down</t>
  </si>
  <si>
    <t>CPU Calculation</t>
  </si>
  <si>
    <t>Host Sockets</t>
  </si>
  <si>
    <t>CPUs</t>
  </si>
  <si>
    <t>Host Cores</t>
  </si>
  <si>
    <t>Cores</t>
  </si>
  <si>
    <t>Total Cluster Cores</t>
  </si>
  <si>
    <t>License Key</t>
  </si>
  <si>
    <t>Default password for ESXi Hosts</t>
  </si>
  <si>
    <t>DNS Servers</t>
  </si>
  <si>
    <t>NTP Servers</t>
  </si>
  <si>
    <t>vSphere components resolvable in DNS</t>
  </si>
  <si>
    <t># NTP server to configure for the deployed products. This should match the root Active Directory server if not deploying with an external AD.</t>
  </si>
  <si>
    <t># Datacenter/cluster names (if not specified, the default values will be used)</t>
  </si>
  <si>
    <t>#EVC cluster mode. If not specified, EVC will be disabled on all clusters. Allowed values are:</t>
  </si>
  <si>
    <t># - "intel-merom", "intel-penryn", "intel-nehalem", "intel-westmere", "intel-sandybridge", "intel-ivybridge", "intel-haswell",</t>
  </si>
  <si>
    <t># - "amd-rev-e", "amd-rev-f", "amd-greyhound-no3dnow", "amd-greyhound", "amd-bulldozer", "amd-piledriver"</t>
  </si>
  <si>
    <t># ******************* S D D C    I N F R A S T R U C T U R E *******************</t>
  </si>
  <si>
    <t># ******************* L I C E N S E    K E Y S *******************</t>
  </si>
  <si>
    <t># VM Names for management products</t>
  </si>
  <si>
    <t># ******************* E X T E R N A L    I N F R A S T R U C T U R E    C O M P O N E N T S *******************</t>
  </si>
  <si>
    <t># Network VLAN ID Configuration</t>
  </si>
  <si>
    <t># vMotion Portgroup  - VLAN Settings</t>
  </si>
  <si>
    <t># Management Portgroup - VLAN Settings</t>
  </si>
  <si>
    <t># VSAN Portgroup  - VLAN Settings</t>
  </si>
  <si>
    <t># VLAN MTU configuration</t>
  </si>
  <si>
    <t># Management Portgroup - MTU Settings</t>
  </si>
  <si>
    <t># vCenter OS credentials (for the root user)</t>
  </si>
  <si>
    <t># vCenter product credentials (for the Administrator@vsphere.local user)</t>
  </si>
  <si>
    <t># NSX product credentials (for the admin user)</t>
  </si>
  <si>
    <t>administrator@vsphere.local</t>
  </si>
  <si>
    <t>admin</t>
  </si>
  <si>
    <t>NSX Manager Administrator Account</t>
  </si>
  <si>
    <t>#Network settings and static IPs for vMotion VMKernel DV portgroups</t>
  </si>
  <si>
    <t>#Network settings and static IPs for VSAN VMKernel DV portgroups</t>
  </si>
  <si>
    <t>Datacenter Name Defined</t>
  </si>
  <si>
    <t>NSX components resolvable in DNS</t>
  </si>
  <si>
    <t>NSX Manager - Static IPs Defined</t>
  </si>
  <si>
    <t>NSX Manager - Hostnames Defined</t>
  </si>
  <si>
    <t>Portgroup Name</t>
  </si>
  <si>
    <t>Default Password</t>
  </si>
  <si>
    <t>Single-Sign-On Site Name</t>
  </si>
  <si>
    <t># Distributed Virtual Switch Names and Portgroups</t>
  </si>
  <si>
    <t>Cluster Name - Management</t>
  </si>
  <si>
    <t>Single-Sign-On Site Name Defined</t>
  </si>
  <si>
    <t>ESXi Hosts Ready for Deployment</t>
  </si>
  <si>
    <t># *******************  D N S   V A L I D A T I O N  *******************</t>
  </si>
  <si>
    <t># Core</t>
  </si>
  <si>
    <t># *******************  E N D   O F   F I L E  *******************</t>
  </si>
  <si>
    <t># Physical NIC name which will be used when the hosts are attached to vDS</t>
  </si>
  <si>
    <t># VM Kernel Adaptors migrated to vDS</t>
  </si>
  <si>
    <t>VMKernel Adaptor for Management</t>
  </si>
  <si>
    <t>vmk0</t>
  </si>
  <si>
    <t>vmnic1</t>
  </si>
  <si>
    <t>Physical NIC to Assign to vDS - Management</t>
  </si>
  <si>
    <t># Default Portgroup for VM Deployments</t>
  </si>
  <si>
    <t>Virtual Networking - ESXi Hosts</t>
  </si>
  <si>
    <t># VSAN datastores names</t>
  </si>
  <si>
    <t># IP pool on the Management VTEP network</t>
  </si>
  <si>
    <t xml:space="preserve">#  VMs/RESOURCES SIZES </t>
  </si>
  <si>
    <t>Physical Hardware and ESXi Hosts</t>
  </si>
  <si>
    <t>Datastores Defined</t>
  </si>
  <si>
    <t>Existing Infrastructure Details</t>
  </si>
  <si>
    <t>DNS Zone Defined</t>
  </si>
  <si>
    <t># Vmotion MTU</t>
  </si>
  <si>
    <t># vSAN MTU</t>
  </si>
  <si>
    <t>NTP Server #1</t>
  </si>
  <si>
    <t>NTP Server #2</t>
  </si>
  <si>
    <t>vCenter Server (Management Cluster)</t>
  </si>
  <si>
    <t>Storage Total GB</t>
  </si>
  <si>
    <t>CIDR Notation</t>
  </si>
  <si>
    <t># Management vDS Portgroup Naming</t>
  </si>
  <si>
    <t>All hosts must be installed with a basic installation of ESXi.</t>
  </si>
  <si>
    <t>Disk Size (GB)</t>
  </si>
  <si>
    <t>Total Needed Per Host</t>
  </si>
  <si>
    <t>RAM Calculations (Without ESXi effeciencies)</t>
  </si>
  <si>
    <t>vCPU Per Core</t>
  </si>
  <si>
    <t>vCPU Per Core Host Down</t>
  </si>
  <si>
    <t>Server Configuration</t>
  </si>
  <si>
    <t>SSD</t>
  </si>
  <si>
    <t>HDD</t>
  </si>
  <si>
    <t>Total VSAN Storage</t>
  </si>
  <si>
    <t>Total RAW by Host</t>
  </si>
  <si>
    <t>Total RAW by Cluster</t>
  </si>
  <si>
    <t>Storage Needed per Host</t>
  </si>
  <si>
    <t># This license is applied to ESX hosts, SRM</t>
  </si>
  <si>
    <t>NSX Controller #1</t>
  </si>
  <si>
    <t>NSX Controller #3</t>
  </si>
  <si>
    <t>NSX Controller #2</t>
  </si>
  <si>
    <t>NSX_Controller01</t>
  </si>
  <si>
    <t>NSX_Controller02</t>
  </si>
  <si>
    <t>NSX_Controller03</t>
  </si>
  <si>
    <t># This license is applied to management VCenter</t>
  </si>
  <si>
    <t># This license is applied to compute VCenter</t>
  </si>
  <si>
    <t>vSwitch0</t>
  </si>
  <si>
    <t>#If no value is provided, then a single standard switch is expected on each host</t>
  </si>
  <si>
    <t>vCenter &amp; PSC - Hostnames Defined</t>
  </si>
  <si>
    <t>vCenter &amp; PSC - Static IPs Defined</t>
  </si>
  <si>
    <t>Account Type</t>
  </si>
  <si>
    <t>Local</t>
  </si>
  <si>
    <t># Host Profile Names (2 POD Only)</t>
  </si>
  <si>
    <t># Hosts needed for the management cluster, this is where we deploy all the solutions. Up to 8 hosts, 2 is the minimum.</t>
  </si>
  <si>
    <t>Virtual Infrastructure Totals</t>
  </si>
  <si>
    <t>DNS Zones</t>
  </si>
  <si>
    <t xml:space="preserve">DNS Server #1 </t>
  </si>
  <si>
    <t>DNS Server #2</t>
  </si>
  <si>
    <t># Site Name to be used for vSphere Single-Sign-on in mgmt and comp</t>
  </si>
  <si>
    <t># Resource Pools for Shared Edge and Compute Cluster</t>
  </si>
  <si>
    <t>vSphere Networking</t>
  </si>
  <si>
    <t># Folder Names Mgmt Cluster - Automatically formulated in XLS using sso-site-name@value= + static values</t>
  </si>
  <si>
    <t>Thick Provisioned</t>
  </si>
  <si>
    <t>Management Workload Domain</t>
  </si>
  <si>
    <t>Management Workload Domain Calculations</t>
  </si>
  <si>
    <t>Default Single-Sign On Domain User</t>
  </si>
  <si>
    <t>vCenter Server and Platform Services Controller Virtual Appliances - root account</t>
  </si>
  <si>
    <t>sfo01-m01-vsan</t>
  </si>
  <si>
    <t>Date</t>
  </si>
  <si>
    <t># NSX Controller Names</t>
  </si>
  <si>
    <t>vmnic0</t>
  </si>
  <si>
    <t>vmnic Allocated to vSS - Management</t>
  </si>
  <si>
    <t>vSphere Standard Switch - Management</t>
  </si>
  <si>
    <t>Datacenter Name - Management</t>
  </si>
  <si>
    <t># Name of vSphere Standard Switch to be migrated. The other standard switches are left intact.</t>
  </si>
  <si>
    <t># *******************  R U N    P A R A M E T E R S *******************</t>
  </si>
  <si>
    <t># LogInsight Virtual Appliance Size - valid values are xsmall, small, medium, large</t>
  </si>
  <si>
    <t>Customer Comment</t>
  </si>
  <si>
    <t>Component</t>
  </si>
  <si>
    <t>Physical Servers Racked with Cabling</t>
  </si>
  <si>
    <t>DNS Configuration - Pre-Configured</t>
  </si>
  <si>
    <t>Platform Service Controller (PSC #1)</t>
  </si>
  <si>
    <t>Platform Service Controller (PSC #2)</t>
  </si>
  <si>
    <t>Removed the following tabs and equivelant key / value pairs
  - vRA Configuration
  - Post-Deployment Checklist
  - CertConfig
Prerequisite Checklist Tab removed:
 - Removed Signed Certificates items
 - Removed Cloud Management Layer items
 - Removed Business Continiuty Layer tems
Management Workloads Tab removed:
 - Removed Compute vCenter and NSX VMs
 - All NSX Edge related VMs
 - All vRealize Suite related VMs and equivelant key / value pairs for licenses
 - All Business Continuity related VM and equivelant key / value pairs for licenses
 - Virtual Infrastructure Workload Domain related VMs
Hosts and Networks Tab removed:
 - Shared Edge &amp; Compute Hosts and equivelant key / value pairs
 - Removed Networking Diagram
Deployment Paramaters Tab:
 - Removed all vRealize Suite Sections and equivelant key / value pairs
 - Removed SRM and vSphere Replication Section and equivelant key / value pairs
 - Removed Signed Certs Section and equivelant key / value pairs</t>
  </si>
  <si>
    <t># *******************      V C F - E M S  -  M a n a g e m e n t   W o r k l o a d   D o m a i n       *******************</t>
  </si>
  <si>
    <t>Updated the 'workflowName' in config to workflowconfig/workflowspec-ems.json for "workflowName.mgmt=
Prerequisite Checklist Tab
 - Removed DNS items for vRealize Suite &amp; SRM/vR
 - Removed Active Directory items
Users and Groups Tab
 - Removed all AD Groups and equivelant key / value pairs
 - Removes svc-nsx and svc-domain-join AD Service accounts and equivelant key / value pairs
Deployment Paramters Tab:
 - Removed all Compute Cluster data and equivelant key / value pairs
 - Removed all NSX Config post NSX Manager and Controller including equivelant key / vlaue pairs
 - Removed all Compute vCenter Objects and equivelant key / value pairs</t>
  </si>
  <si>
    <t>SDDC Manager Super User</t>
  </si>
  <si>
    <t>vcf</t>
  </si>
  <si>
    <t>SDDC Manager</t>
  </si>
  <si>
    <t>SDDC Manager Appliance Root Account</t>
  </si>
  <si>
    <t>SDDC Manager REST API User</t>
  </si>
  <si>
    <t># ******************* S D D C    M A N A G E R  *******************</t>
  </si>
  <si>
    <t xml:space="preserve"># Default credentials for SDDC Manager </t>
  </si>
  <si>
    <t># SDDC Manager Appliance</t>
  </si>
  <si>
    <t>SDDC Manager - Hostnames Defined</t>
  </si>
  <si>
    <t>SDDC Manager - Static IPs Defined</t>
  </si>
  <si>
    <t>SDDC components resolvable in DNS</t>
  </si>
  <si>
    <t>SDDC Manager Hostname</t>
  </si>
  <si>
    <t>SDDC Manager IP Address</t>
  </si>
  <si>
    <t>SDDC Manager Subnet Mask</t>
  </si>
  <si>
    <t>sddc-manager</t>
  </si>
  <si>
    <t>255.255.255.0</t>
  </si>
  <si>
    <t>Host Pool Name</t>
  </si>
  <si>
    <t>VXLAN (VTEP) - DHCP Network</t>
  </si>
  <si>
    <t># VTEP network for Management NSX</t>
  </si>
  <si>
    <t>SDDC Manager Appliance</t>
  </si>
  <si>
    <t># VXLAN Portgroup - VLAN Settings</t>
  </si>
  <si>
    <t># VDS MTU - Used for VDS, VTEP, ESGs</t>
  </si>
  <si>
    <t>Added VLAN and MTU for VTEP Network
Added property for automationUserSsoPassword</t>
  </si>
  <si>
    <t># Automation SSO Admin User</t>
  </si>
  <si>
    <t>automation</t>
  </si>
  <si>
    <t>Start</t>
  </si>
  <si>
    <t>End</t>
  </si>
  <si>
    <t>Renamed  'workflowName.mgmt' to 'workflowName.vcf-ems'
Added Inclusion Ranges for vSAN and vMotion:
  - exclusion-range-start-vmotion=
  - exclusion-range-end-vmotion=
  - exclusion-range-start-vsan=
  - exclusion-range-end-vsan=</t>
  </si>
  <si>
    <t>Hostnames Defined for all components</t>
  </si>
  <si>
    <t>Static IP Addresses Defined for all components</t>
  </si>
  <si>
    <t>Static IP Address for Load Balancer</t>
  </si>
  <si>
    <t>vRealize Log Insight components resolvable in DNS</t>
  </si>
  <si>
    <r>
      <rPr>
        <b/>
        <sz val="10"/>
        <color theme="1"/>
        <rFont val="Metropolis"/>
      </rPr>
      <t>Virtual Infrastructure Layer</t>
    </r>
    <r>
      <rPr>
        <sz val="10"/>
        <color theme="1"/>
        <rFont val="Metropolis"/>
      </rPr>
      <t xml:space="preserve"> - All proposed hostnames are resolvable for forward, reverse, short name and long name resolution.
  - Platform Services Controller 
  - vCenter Server
  - NSX Manager
  - vRealize Log Insight
  - SDDC Manager</t>
    </r>
  </si>
  <si>
    <t># ******************** vRealize Log Insight ********************</t>
  </si>
  <si>
    <t># Log Insight - Static IPs on the RegionA VXLAN</t>
  </si>
  <si>
    <t>#Log Insight - VM Names</t>
  </si>
  <si>
    <t># Operations</t>
  </si>
  <si>
    <t># Network IP Inclusion Ranges</t>
  </si>
  <si>
    <t>Added basic vRLI Config for 3 node cluster
Switch IP Ranges to Inclusion from Exclusion</t>
  </si>
  <si>
    <t>vRealize Log Insight - Master Node</t>
  </si>
  <si>
    <t>vRealize Log Insight - Worker Node</t>
  </si>
  <si>
    <t>Operations Management Totals</t>
  </si>
  <si>
    <t>vRealize Log Insight Admin Account</t>
  </si>
  <si>
    <t>vRealize Log Insight Root Account</t>
  </si>
  <si>
    <t># LogInsight "admin" password</t>
  </si>
  <si>
    <t># LogInsight "root" password</t>
  </si>
  <si>
    <t>Added vRLI elements:
 - License Key
 - Admin and Root Users
 - Archive Location
 - Admin Email</t>
  </si>
  <si>
    <t>Datastores</t>
  </si>
  <si>
    <t>Default vSS Portgroup Name</t>
  </si>
  <si>
    <t>Removed:
   - SMTP Server Settings
   - Active Directory Details
   - Platform Services Controller Load Balancer
   - VVD Special Settings</t>
  </si>
  <si>
    <t># DNS Zones</t>
  </si>
  <si>
    <t>Added back:
   - ldapADIdentitySource.domainName=vsphere.local
   - ldapADIdentitySource.subDomainPrefix=vrack.vsphere.local</t>
  </si>
  <si>
    <t>Fixed forumla for root password of vRLI</t>
  </si>
  <si>
    <t>Added Additonal IP Ranges and IP Inclusions:
   - inclusion-range-start-vmotion01=
   - inclusion-range-end-vmotion01=
   - inclusion-range-start-vmotion02=
   - inclusion-range-end-vmotion02=
   - inclusion-ips-vmotion=
   - inclusion-range-start-vsan01=
   - inclusion-range-end-vsan01=
   - inclusion-range-start-vsan02=
   - inclusion-range-end-vsan02=
   - inclusion-ips-vsan=
Updated values for SSOAutomation user:
   - sddc-manager-automation-sso.username=
   - sddc-manager-automation-sso.password=</t>
  </si>
  <si>
    <t>NSX Segment ID Range</t>
  </si>
  <si>
    <t># Segment ID ranges (Management NSX)</t>
  </si>
  <si>
    <t>Added NSX Segment IDs
    - mgmt-nsx-segment-id-range@rangeStart=
    - mgmt-nsx-segment-id-range@rangeEnd=</t>
  </si>
  <si>
    <t>Removed NSX Privelage User from Inputs
    - "nsx-admin-privilege-password@value="</t>
  </si>
  <si>
    <t>Removed the vTEP Pool Settings for entry but left the key/value pairs to ensure blank values in the JSON file</t>
  </si>
  <si>
    <t>Removed License Keys
Removed External Storage Values
Removed External Storage from Prereqs Tab</t>
  </si>
  <si>
    <t>172.16.11.0/24</t>
  </si>
  <si>
    <t>172.16.12.0/24</t>
  </si>
  <si>
    <t>172.16.12.253</t>
  </si>
  <si>
    <t>172.16.13.0/24</t>
  </si>
  <si>
    <t>172.16.13.253</t>
  </si>
  <si>
    <t>sfo01-m01-vds</t>
  </si>
  <si>
    <t>172.16.11.4</t>
  </si>
  <si>
    <t>sfo01</t>
  </si>
  <si>
    <t>sfo01.rainpole.local</t>
  </si>
  <si>
    <t>sfo01m01vc01</t>
  </si>
  <si>
    <t>sfo01m01psc01</t>
  </si>
  <si>
    <t>sfo01w01psc01</t>
  </si>
  <si>
    <t>172.16.11.61</t>
  </si>
  <si>
    <t>172.16.11.62</t>
  </si>
  <si>
    <t>172.16.11.63</t>
  </si>
  <si>
    <t>172.16.11.101</t>
  </si>
  <si>
    <t>172.16.11.102</t>
  </si>
  <si>
    <t>172.16.11.103</t>
  </si>
  <si>
    <t>172.16.11.104</t>
  </si>
  <si>
    <t>sfo01m01esx01</t>
  </si>
  <si>
    <t>sfo01m01esx02</t>
  </si>
  <si>
    <t>sfo01m01esx03</t>
  </si>
  <si>
    <t>sfo01m01esx04</t>
  </si>
  <si>
    <t>172.16.12.101</t>
  </si>
  <si>
    <t>172.16.12.104</t>
  </si>
  <si>
    <t>172.16.13.101</t>
  </si>
  <si>
    <t>172.16.13.104</t>
  </si>
  <si>
    <t>sfo01-m01-dc</t>
  </si>
  <si>
    <t>sfo01-m01-mgmt01</t>
  </si>
  <si>
    <t>172.16.11.118</t>
  </si>
  <si>
    <t>172.16.11.120</t>
  </si>
  <si>
    <t>sfo01m01nsx01</t>
  </si>
  <si>
    <t>sfo01vrli01</t>
  </si>
  <si>
    <t>sfo01vrli01a</t>
  </si>
  <si>
    <t>sfo01vrli01c</t>
  </si>
  <si>
    <t>sfo01vrli01b</t>
  </si>
  <si>
    <t>172.16.11.10</t>
  </si>
  <si>
    <t>172.16.11.11</t>
  </si>
  <si>
    <t>172.16.11.12</t>
  </si>
  <si>
    <t>172.16.11.13</t>
  </si>
  <si>
    <t>172.16.11.60</t>
  </si>
  <si>
    <t>sfo01-networkpool</t>
  </si>
  <si>
    <t>Updated all names and IP Addresses to match VVD Region A values as per PR: https://bugzilla.eng.vmware.com/show_bug.cgi?id=2164082
Remove NSX FTP properties
Locked tabs so only inputs can be altered
Set portgroups so they can not be altered</t>
  </si>
  <si>
    <t>Addressed PR 2167479 - Adjusted formula for to make management portgroup update based on Deployment Paramters Cel J18
Addressed PR 2169188 - Set vmk to only having vmk0 available 
Addressed PR 2169396 - Removed vRLI Admin Email</t>
  </si>
  <si>
    <t>Addressed PR 2175805 - Updated Primary DNS Server to be mandatory - Turns read if Blank or n/a
Addressed PR 2175809 - Updated Primary and Secondary Domains to be mandatory - Turns red if blank or n/a
Added mandatory entry for VSAN Datastore - Turns red if blank or n/a</t>
  </si>
  <si>
    <t>Addressed PR 2177007 - Removed conditional format off cell where license keys are not mandatory (vSAN, vCenter, NSX and vRLI)</t>
  </si>
  <si>
    <t>Added SDDC Manager License Key:
    - sddc-manager-license@key=</t>
  </si>
  <si>
    <t>NTP and DNS settings must be the same as the  Cloud Foundation Builder VM</t>
  </si>
  <si>
    <t>Platform Service Controller #2</t>
  </si>
  <si>
    <t>Platform Service Controller #1</t>
  </si>
  <si>
    <r>
      <t xml:space="preserve">Instructions: </t>
    </r>
    <r>
      <rPr>
        <sz val="10"/>
        <color rgb="FFFF0000"/>
        <rFont val="Metropolis"/>
      </rPr>
      <t xml:space="preserve">Use this tab to capture the configuration paramaters required in order to deploy an SDDC platform. Supply information against each yellow box during the planning phase of the engagement in order for the platform to be built. </t>
    </r>
    <r>
      <rPr>
        <b/>
        <sz val="10"/>
        <color rgb="FFFF0000"/>
        <rFont val="Metropolis"/>
      </rPr>
      <t>If a value is not required enter 'n/a</t>
    </r>
    <r>
      <rPr>
        <sz val="10"/>
        <color rgb="FFFF0000"/>
        <rFont val="Metropolis"/>
      </rPr>
      <t xml:space="preserve">' </t>
    </r>
    <r>
      <rPr>
        <sz val="10"/>
        <rFont val="Metropolis"/>
      </rPr>
      <t>(Existing values are just examples)</t>
    </r>
    <r>
      <rPr>
        <sz val="10"/>
        <color rgb="FFFF0000"/>
        <rFont val="Metropolis"/>
      </rPr>
      <t xml:space="preserve">. </t>
    </r>
    <r>
      <rPr>
        <b/>
        <sz val="10"/>
        <color rgb="FFFF0000"/>
        <rFont val="Metropolis"/>
      </rPr>
      <t xml:space="preserve">If a cell turns red then the property is a required value or the data entered has failed some basic Excel validation and it should be fixed before proceeding. </t>
    </r>
    <r>
      <rPr>
        <b/>
        <sz val="10"/>
        <color theme="1"/>
        <rFont val="Metropolis"/>
      </rPr>
      <t>Grey cells are populated automatically, the values can be over-ridden but you will lose the original formula in such scenarios.</t>
    </r>
  </si>
  <si>
    <t>SDDC-DPortGroup-Mgmt</t>
  </si>
  <si>
    <t>SDDC-DPortGroup-vMotion</t>
  </si>
  <si>
    <t xml:space="preserve">SDDC-DPortGroup-VSAN </t>
  </si>
  <si>
    <r>
      <t xml:space="preserve">Instructions: </t>
    </r>
    <r>
      <rPr>
        <sz val="10.5"/>
        <color rgb="FFFF0000"/>
        <rFont val="Metropolis"/>
      </rPr>
      <t xml:space="preserve">Use this tab to understand the pre-requisites required in order to implement the SDDC solution. Information against each yellow box during the planning phase of the engagement.  If a value is not required enter 'n/a'. </t>
    </r>
    <r>
      <rPr>
        <b/>
        <sz val="11"/>
        <color theme="1"/>
        <rFont val="Metropolis"/>
      </rPr>
      <t>Grey cells are populated with default values, they cannot be changed.</t>
    </r>
  </si>
  <si>
    <t>vSAN Datastore Name - Management</t>
  </si>
  <si>
    <r>
      <rPr>
        <b/>
        <sz val="10"/>
        <color theme="1"/>
        <rFont val="Metropolis"/>
      </rPr>
      <t>Physical Hardware</t>
    </r>
    <r>
      <rPr>
        <sz val="10"/>
        <color theme="1"/>
        <rFont val="Metropolis"/>
      </rPr>
      <t xml:space="preserve"> - Racked and cabled and must be installed with ESXi (up to 8 hosts for the Management Workload Domain). (Minimum of 4 hosts per cluster type if using vSAN as a datastore.</t>
    </r>
  </si>
  <si>
    <r>
      <rPr>
        <b/>
        <sz val="10"/>
        <color theme="1"/>
        <rFont val="Metropolis"/>
      </rPr>
      <t>vSAN Configuration</t>
    </r>
    <r>
      <rPr>
        <sz val="10"/>
        <color theme="1"/>
        <rFont val="Metropolis"/>
      </rPr>
      <t xml:space="preserve"> - All disks available for use.</t>
    </r>
  </si>
  <si>
    <t>Prefix for vCenter User created by SDDC Manager for Automation</t>
  </si>
  <si>
    <t>vSphere Resource Pools</t>
  </si>
  <si>
    <t>sfo01-w01-sddc-edge</t>
  </si>
  <si>
    <t>sfo01-w01-user-edge</t>
  </si>
  <si>
    <t>Addressed PR 2165982 Added Resource Pool Values</t>
  </si>
  <si>
    <t># vSphere Resource Pools</t>
  </si>
  <si>
    <t>172.16.11.253</t>
  </si>
  <si>
    <t>Resource Pool SDDC Mgmt</t>
  </si>
  <si>
    <t>Resource Pool SDDC Edge</t>
  </si>
  <si>
    <t>Resource Pool User Edge</t>
  </si>
  <si>
    <t>Resource Pool User VM</t>
  </si>
  <si>
    <t>sfo01-w01-sddc-mgmt</t>
  </si>
  <si>
    <t>sfo01-w01-user-vm</t>
  </si>
  <si>
    <t>ESXi</t>
  </si>
  <si>
    <t>Renamed `vSphere/vcloud suite` to `ESXi` as per PR 2202723</t>
  </si>
  <si>
    <t>Added 4th resource Pool as per PR 2075390
Added NSX Controller Root Password</t>
  </si>
  <si>
    <t>vCenter Server Appliance Size (Default Small)</t>
  </si>
  <si>
    <t>vRealize Log Insight Node Size ( Default Medium)</t>
  </si>
  <si>
    <t>vRealize Log Insight Servers</t>
  </si>
  <si>
    <t>vRealize Log Insight Node Load Balancer</t>
  </si>
  <si>
    <t>vRealize Log Insight Node #1 (Master)</t>
  </si>
  <si>
    <t>vRealize Log Insight Node #2 (Worker)</t>
  </si>
  <si>
    <t>vRealize Log Insight Node #3 (Worker)</t>
  </si>
  <si>
    <t># VCenter sizes - valid values are "tiny", "small", "medium", "large", "xlarge"</t>
  </si>
  <si>
    <t>ESXi Host Security Thumbprints</t>
  </si>
  <si>
    <t>ESXi Hosts</t>
  </si>
  <si>
    <t xml:space="preserve">Addressed PR 2205327 Add comments to each password in Users and Groups tab defininig the requirements
Addressed PR 2205311 Added the ability to select the size of vCenter and vRLI nodes - Auto calculate the CPU/Memory/Disk sizes in Management Workloads
Addressed PR 2206267 Added ESXi thumbprint details to Hosts and Networks tab </t>
  </si>
  <si>
    <t># ESXi Security Thumbprints</t>
  </si>
  <si>
    <t># SSH Thumbprints</t>
  </si>
  <si>
    <t># SSL Thumbprints</t>
  </si>
  <si>
    <t>Adjusted the layout of the SSL/SSH Thumbprint inputs cells</t>
  </si>
  <si>
    <r>
      <t xml:space="preserve">Instructions: </t>
    </r>
    <r>
      <rPr>
        <sz val="10"/>
        <color theme="1"/>
        <rFont val="Metropolis"/>
      </rPr>
      <t xml:space="preserve">Use this tab to capture the service accounts, groups and passwords in order to implement the SDDC platform. Supply information against each yellow box in order for the platform to be built.
</t>
    </r>
    <r>
      <rPr>
        <b/>
        <sz val="10"/>
        <color theme="1"/>
        <rFont val="Metropolis"/>
      </rPr>
      <t>Password Policy:</t>
    </r>
    <r>
      <rPr>
        <sz val="10"/>
        <color theme="1"/>
        <rFont val="Metropolis"/>
      </rPr>
      <t xml:space="preserve"> </t>
    </r>
    <r>
      <rPr>
        <i/>
        <sz val="10"/>
        <color theme="1"/>
        <rFont val="Metropolis"/>
      </rPr>
      <t>Minimum 8 characters in length and atleast one uppercase, lowercase, number and special character (e.g: @!#$%?^)</t>
    </r>
    <r>
      <rPr>
        <sz val="10"/>
        <color theme="1"/>
        <rFont val="Metropolis"/>
      </rPr>
      <t>.</t>
    </r>
    <r>
      <rPr>
        <sz val="10"/>
        <color rgb="FFFF0000"/>
        <rFont val="Metropolis"/>
      </rPr>
      <t xml:space="preserve"> </t>
    </r>
    <r>
      <rPr>
        <i/>
        <sz val="10"/>
        <color theme="1"/>
        <rFont val="Metropolis"/>
      </rPr>
      <t xml:space="preserve">Unsupported: Ambiguous Characters (e.g: { } [ ] ( ) / \' " ` ~ , ; : .&lt; &gt;) </t>
    </r>
    <r>
      <rPr>
        <sz val="10"/>
        <color theme="1"/>
        <rFont val="Metropolis"/>
      </rPr>
      <t xml:space="preserve">
</t>
    </r>
    <r>
      <rPr>
        <sz val="10"/>
        <color rgb="FFFF0000"/>
        <rFont val="Metropolis"/>
      </rPr>
      <t>If a cell turns red then the property information is missing or validation on the password length has failed (minimum of 8 characters)</t>
    </r>
  </si>
  <si>
    <t>small</t>
  </si>
  <si>
    <t>ESXi Hosts - Root Account (Same for all ESXi hosts)</t>
  </si>
  <si>
    <t>Addressed PR 2209673 Updated vmnic validation list to support a total of 10 vmnics (vmnic0 - vmnic9)
Addressed PR 2209906 Moved the ESXi Root credentials to the Users and Groups Tab
Addressed PR 2209857 Adjusted XLS Input for ESXi Password to between 8 and 40 characters and updated the validation inputs</t>
  </si>
  <si>
    <t xml:space="preserve"> Validate ESXi Thumbprints</t>
  </si>
  <si>
    <t>SHA256:RBA2O5XImupEfJSaoBcYYzc0aR9gWjlkY8VqptIub9w</t>
  </si>
  <si>
    <t>SHA256:gC6mtEWkCIcYH/AvrP68XTOkynMFVqgN3OsI292dnWE</t>
  </si>
  <si>
    <t>SHA256:8XZOzXNJrTFV1pAsWcran3EXpvRmA8NbWBZ8UyCII0Q</t>
  </si>
  <si>
    <t>SHA256:OIPBfY9cc1huP0VLY8zNJLBcAM3UPmDBbzMVZvjmnLo</t>
  </si>
  <si>
    <t>27:09:80:C3:59:00:73:F0:80:93:15:36:7E:5D:C9:72:69:32:EF:99</t>
  </si>
  <si>
    <t>E3:33:4D:5B:87:5C:5E:39:B1:06:CA:0B:23:B4:43:BA:1D:AE:8B:AB</t>
  </si>
  <si>
    <t>EB:A3:F2:55:00:46:EE:2B:9F:89:3D:A3:5A:A8:65:6B:A3:77:57:87</t>
  </si>
  <si>
    <t>13:42:5E:6A:B7:1A:3A:5E:5E:AA:54:0E:24:0A:AD:FF:55:FA:14:4D</t>
  </si>
  <si>
    <t>SSL Thumbprints (SHA1)</t>
  </si>
  <si>
    <t>SSH RSA Key Fingerprints (SHA256)</t>
  </si>
  <si>
    <t>Addressed PR 2212623 Adjusted Child zone to not turn red when n/a is entered
Addressed PR 2212530 Removed the complexity requirement prompt and validation
Addressed PR 2212535 Adjusted the conditioning formula for DNS/NTP Duplicates
Addressed PR 2212557 Added a conditional format to vRLI Nodes for Management vLAN</t>
  </si>
  <si>
    <t>Remove IP input validation for NTP servers as both IP and FQDN are options for input</t>
  </si>
  <si>
    <t>Addressed PR 2214908 Updated versions of software in Management Workloads tab</t>
  </si>
  <si>
    <t>-</t>
  </si>
  <si>
    <t>vSAN</t>
  </si>
  <si>
    <t xml:space="preserve">Copyright © 2018 VMware, Inc. All rights reserved. This product is protected by copyright and intellectual property laws in the United States and other countries as well as by international treaties. VMware products are covered by one or more patents listed at http://www.vmware.com/go/patents. VMware is a registered trademark or trademark of VMware, Inc. in the United States and other jurisdictions. All other marks and names mentioned herein may be trademarks of their respective companies. </t>
  </si>
  <si>
    <t>Addressed PR 2217703 Added Copyright information to first worksheet</t>
  </si>
  <si>
    <t>NSX Controller Admin Password</t>
  </si>
  <si>
    <t>Addressed PR 2224169 Renamed NSX Controller user in XLS to Admin and not Root</t>
  </si>
  <si>
    <t>medium</t>
  </si>
  <si>
    <t>Addressed PR 2225560 Remove xsmall option for vRLI size from XLS
Addressed Part of PR 2223367 by adding Tool Tips to Cells</t>
  </si>
  <si>
    <t>Taken general feedback from Field Teams and PM and made the following adjustments to the XLS:
User and Groups
   - Set automation cell grey and locked it as this should be configurable
Hosts and Networks
   - Made grey cellls for vSAN and vMotion networks white so they don't look like inputs
   - Added duplicate conditional formatting for ESXi hostname and IP Address</t>
  </si>
  <si>
    <t>DNS Zone Name</t>
  </si>
  <si>
    <t>Address PR 2227198 Removed Child DNS Zone value</t>
  </si>
  <si>
    <t>vSphere Distributed Switch Name</t>
  </si>
  <si>
    <t>vSphere Distributed Switch MTU Size</t>
  </si>
  <si>
    <t>Addressed PR 2228197 - Add configurable setting for vDS MTU Size</t>
  </si>
  <si>
    <t># DVS MTU</t>
  </si>
  <si>
    <t>NSX Manager CLI Privileged Password</t>
  </si>
  <si>
    <t>Addressed PR 2213320 - Added NSX Manager CLI Privileged User Account</t>
  </si>
  <si>
    <t>Management Domain ESXi Hosts</t>
  </si>
  <si>
    <t>Management Domain Networks</t>
  </si>
  <si>
    <t>Added additional cell formatting:
    - Added duplicate check for SDDC Manager and vRLI Ips
    - Added subnet check for SDDC Manager
    - Added duplicate hostname check in Deployment Prameters XLS</t>
  </si>
  <si>
    <t>No</t>
  </si>
  <si>
    <t>Addressed PR 2232938 - Add validation to NSX Manager CLI Privileged Password and Re-arrange NSX Manager entries</t>
  </si>
  <si>
    <t>Addressed PR 2239044 - Fix for CLI Privileged Password</t>
  </si>
  <si>
    <t>vMotion Start IP</t>
  </si>
  <si>
    <t>vSAN Start IP</t>
  </si>
  <si>
    <t>vMotion End IP</t>
  </si>
  <si>
    <t>vSAN End IP</t>
  </si>
  <si>
    <t>172.16.11.65</t>
  </si>
  <si>
    <t>Simplified the IP Inclusion Range input details, most use cases only require the single range and this is confusing customers</t>
  </si>
  <si>
    <t># *******************  R E M O T E    S P E C *******************</t>
  </si>
  <si>
    <t># Join existing Platform Services Controller SSO Domain from Region A</t>
  </si>
  <si>
    <t>Added Remote Spec details to allow a deployment to join an existing SSO Domain if it’s a second site</t>
  </si>
  <si>
    <t>Addressed PR 2251009 - Gateway key/value pair was missing</t>
  </si>
  <si>
    <t>Cluster Name Defined</t>
  </si>
  <si>
    <t>Distributed Virtual Switch Name Defined</t>
  </si>
  <si>
    <t>Network (10.10.10.0/24)</t>
  </si>
  <si>
    <t>Gateway (10.10.10.1)</t>
  </si>
  <si>
    <t>Availability Zone 1 VSAN Network</t>
  </si>
  <si>
    <t>172.16.13/24</t>
  </si>
  <si>
    <t>172.16.13.1</t>
  </si>
  <si>
    <t>Availability Zone 2 VSAN Network</t>
  </si>
  <si>
    <t>172.16.21.0/24</t>
  </si>
  <si>
    <t>172.16.21.1</t>
  </si>
  <si>
    <t>Witness VSAN Network</t>
  </si>
  <si>
    <t>172.17.13.0/24</t>
  </si>
  <si>
    <t>172.17.13.1</t>
  </si>
  <si>
    <t>Availability Zone 1 Host Routes</t>
  </si>
  <si>
    <t>Route Name</t>
  </si>
  <si>
    <t>Network</t>
  </si>
  <si>
    <t>Command</t>
  </si>
  <si>
    <t>Availability Zone 1 to Witness</t>
  </si>
  <si>
    <t>Availability Zone 1 to Availability Zone 2</t>
  </si>
  <si>
    <t>Availability Zone 2 Host Routes</t>
  </si>
  <si>
    <t>Availability Zone 2 to Witness</t>
  </si>
  <si>
    <t>Availability Zone 2 to Availability Zone 1</t>
  </si>
  <si>
    <t>Witness to Availability Zone 1</t>
  </si>
  <si>
    <t>Witness to Availability Zone 2</t>
  </si>
  <si>
    <t>Removed Checkbox for EVC Mode as this option is not exposed for VCF currently
Added New Tab - Stretched Cluster Host Routes based on request from PM</t>
  </si>
  <si>
    <t>Witness Host Routes</t>
  </si>
  <si>
    <t>EVC Settings</t>
  </si>
  <si>
    <t>Addressed PR 2251713 - Added EVC setting to deployment parameters tab</t>
  </si>
  <si>
    <t>Addrssed PR 2262205 - Added CEIP setting
Addressed PR 2259315 - Added Formula check for IP address entry and set cells to text
Addressed PR 2212542 - Added conditional format to check for three octets</t>
  </si>
  <si>
    <t>Addressed PR 2269561 - Cell was locked and not editable for SSO Domain Join</t>
  </si>
  <si>
    <t>Addressed PR 2270560 -  Add a field for subscription license in XLS</t>
  </si>
  <si>
    <t># This subscription license is used for ESX, VC, VSAN, NSX, SDDC Manager when supplied</t>
  </si>
  <si>
    <t>Addressed PR 2091769 - Enable vSwitch value to be configurable</t>
  </si>
  <si>
    <t>6.4.4</t>
  </si>
  <si>
    <t>Removed Remote Site Details for PSC pending Password Rotaton issue resolution
Addressed PR 2279664 - Updated NSX Version from 6.4.3 to 6.4.4</t>
  </si>
  <si>
    <r>
      <rPr>
        <b/>
        <sz val="11"/>
        <color theme="1"/>
        <rFont val="Calibri"/>
        <family val="2"/>
        <scheme val="minor"/>
      </rPr>
      <t>Instructions:</t>
    </r>
    <r>
      <rPr>
        <sz val="11"/>
        <color theme="1"/>
        <rFont val="Calibri"/>
        <family val="2"/>
        <scheme val="minor"/>
      </rPr>
      <t xml:space="preserve"> </t>
    </r>
    <r>
      <rPr>
        <sz val="11"/>
        <color rgb="FFFF0000"/>
        <rFont val="Calibri (Body)_x0000_"/>
      </rPr>
      <t xml:space="preserve">Enter the network information and gateways for the coresponding clusters and witness. Then copy the value of the command field and run it on the hosts for the availability zone and witness. </t>
    </r>
    <r>
      <rPr>
        <b/>
        <sz val="11"/>
        <color rgb="FFFF0000"/>
        <rFont val="Calibri (Body)_x0000_"/>
      </rPr>
      <t>NOTE:</t>
    </r>
    <r>
      <rPr>
        <sz val="11"/>
        <color rgb="FFFF0000"/>
        <rFont val="Calibri (Body)_x0000_"/>
      </rPr>
      <t xml:space="preserve"> The host to host VSAN route is already in place from the cluster stretch script. </t>
    </r>
    <r>
      <rPr>
        <sz val="11"/>
        <color theme="1"/>
        <rFont val="Calibri"/>
        <family val="2"/>
        <scheme val="minor"/>
      </rPr>
      <t xml:space="preserve">
</t>
    </r>
    <r>
      <rPr>
        <i/>
        <sz val="11"/>
        <color theme="1"/>
        <rFont val="Calibri"/>
        <family val="2"/>
        <scheme val="minor"/>
      </rPr>
      <t>NOTE: Data on this sheet is not consumed by Bringup but can be used when manually implementing vSAN Stretched Cluster setup</t>
    </r>
  </si>
  <si>
    <t>Removed Subscription License for VCF 3.7 Release)</t>
  </si>
  <si>
    <t>Management Domain - Segment IDs</t>
  </si>
  <si>
    <t>Added input validation for segment IDs, valid input between 5000 and 16777215</t>
  </si>
  <si>
    <t>9000</t>
  </si>
  <si>
    <r>
      <rPr>
        <b/>
        <sz val="10"/>
        <color theme="1"/>
        <rFont val="Metropolis"/>
      </rPr>
      <t>ESXi Configuration</t>
    </r>
    <r>
      <rPr>
        <sz val="10"/>
        <color theme="1"/>
        <rFont val="Metropolis"/>
      </rPr>
      <t xml:space="preserve"> - All ESXi hosts must be configured with the following settings:
  - Static IP Address assigned to the Management interface (vmk0)
  - Management Network portgroup configured with correct VLAN ID
  - VM Network portgroup configured with the same VLAN ID as the Management Network
  - TSM-SSH Service enabled and policy set to 'Start and Stop with Host'
  - NTP Service enabled, configured and policy set to 'Start and Stop with Host'</t>
    </r>
  </si>
  <si>
    <t>Addressed spelling error on Prerequisite Checklist Tab under Physical Hardware</t>
  </si>
  <si>
    <t>Addressed PR 2298259, removed Yes/No Toggle for vCenter Server CEIP which does not toggle CEIP but advanced settings</t>
  </si>
  <si>
    <t># Multicast address ranges (Management NSX)</t>
  </si>
  <si>
    <t>NSX Multicast Address Range</t>
  </si>
  <si>
    <t>239.1.0.0</t>
  </si>
  <si>
    <t>239.1.255.255</t>
  </si>
  <si>
    <t>Addressed PR 2302896, Added multicast range addresses</t>
  </si>
  <si>
    <t>Addressed PR 2317410 - Added VMware Cloud Foundation version number first worksheet and created new key/value pair
Addressed PR 2318346 - Check MTU input is greater than 1500</t>
  </si>
  <si>
    <t>Addressed PR 2323795 - Removed employee name from stretched cluster worksheet</t>
  </si>
  <si>
    <t>Enable vSAN Deduplication and Compression</t>
  </si>
  <si>
    <t># Enable vSAN Deduplication and Compression</t>
  </si>
  <si>
    <t>v3.7.2</t>
  </si>
  <si>
    <t>6.7 U2</t>
  </si>
  <si>
    <t xml:space="preserve">Addressed PR 2343757 - Updated Version number to 3.7.2
Addressed PR 2343803 - Updated vCenter/PSC Versions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</si>
</sst>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d\-mmm\-yy"/>
  </numFmts>
  <fonts count="52">
    <font>
      <sz val="11"/>
      <color theme="1"/>
      <name val="Calibri"/>
      <family val="2"/>
      <scheme val="minor"/>
    </font>
    <font>
      <sz val="12"/>
      <color theme="1"/>
      <name val="Calibri"/>
      <family val="2"/>
      <scheme val="minor"/>
    </font>
    <font>
      <sz val="10"/>
      <name val="Arial"/>
      <family val="2"/>
    </font>
    <font>
      <u/>
      <sz val="10"/>
      <color indexed="12"/>
      <name val="Verdana"/>
      <family val="2"/>
    </font>
    <font>
      <sz val="12"/>
      <color theme="1"/>
      <name val="Calibri"/>
      <family val="2"/>
      <scheme val="minor"/>
    </font>
    <font>
      <u/>
      <sz val="12"/>
      <color theme="10"/>
      <name val="Calibri"/>
      <family val="2"/>
      <scheme val="minor"/>
    </font>
    <font>
      <sz val="11"/>
      <color theme="0"/>
      <name val="Calibri"/>
      <family val="1"/>
      <scheme val="minor"/>
    </font>
    <font>
      <u/>
      <sz val="11"/>
      <color theme="10"/>
      <name val="Calibri"/>
      <family val="1"/>
      <scheme val="minor"/>
    </font>
    <font>
      <sz val="11"/>
      <name val="Calibri"/>
      <family val="2"/>
      <scheme val="minor"/>
    </font>
    <font>
      <b/>
      <sz val="11"/>
      <color rgb="FFFF0000"/>
      <name val="Calibri"/>
      <family val="2"/>
      <scheme val="minor"/>
    </font>
    <font>
      <u/>
      <sz val="11"/>
      <color theme="11"/>
      <name val="Calibri"/>
      <family val="2"/>
      <scheme val="minor"/>
    </font>
    <font>
      <sz val="11"/>
      <color rgb="FF000000"/>
      <name val="Calibri"/>
      <family val="2"/>
      <scheme val="minor"/>
    </font>
    <font>
      <sz val="10.5"/>
      <color theme="0"/>
      <name val="Metropolis"/>
    </font>
    <font>
      <sz val="10.5"/>
      <color theme="1"/>
      <name val="Metropolis"/>
    </font>
    <font>
      <sz val="11"/>
      <color theme="1"/>
      <name val="Metropolis"/>
    </font>
    <font>
      <sz val="10"/>
      <color theme="0"/>
      <name val="Metropolis"/>
    </font>
    <font>
      <sz val="10"/>
      <color theme="1"/>
      <name val="Metropolis"/>
    </font>
    <font>
      <b/>
      <sz val="11"/>
      <color theme="1"/>
      <name val="Metropolis"/>
    </font>
    <font>
      <b/>
      <sz val="12"/>
      <color theme="1"/>
      <name val="Metropolis"/>
    </font>
    <font>
      <b/>
      <sz val="14"/>
      <color theme="0"/>
      <name val="Metropolis"/>
    </font>
    <font>
      <b/>
      <sz val="16"/>
      <color theme="0"/>
      <name val="Metropolis"/>
    </font>
    <font>
      <b/>
      <sz val="18"/>
      <color theme="0"/>
      <name val="Metropolis"/>
    </font>
    <font>
      <sz val="10.5"/>
      <name val="Metropolis"/>
    </font>
    <font>
      <b/>
      <sz val="10"/>
      <color theme="1"/>
      <name val="Metropolis"/>
    </font>
    <font>
      <sz val="10"/>
      <name val="Metropolis"/>
    </font>
    <font>
      <b/>
      <sz val="10"/>
      <name val="Metropolis"/>
    </font>
    <font>
      <sz val="10"/>
      <color rgb="FFFF0000"/>
      <name val="Metropolis"/>
    </font>
    <font>
      <b/>
      <sz val="10"/>
      <color theme="0"/>
      <name val="Metropolis"/>
    </font>
    <font>
      <sz val="12"/>
      <color theme="1"/>
      <name val="Metropolis"/>
    </font>
    <font>
      <sz val="10"/>
      <color theme="4"/>
      <name val="Metropolis"/>
    </font>
    <font>
      <b/>
      <sz val="10"/>
      <color theme="6"/>
      <name val="Metropolis"/>
    </font>
    <font>
      <sz val="10"/>
      <color rgb="FF000000"/>
      <name val="Metropolis"/>
    </font>
    <font>
      <b/>
      <sz val="12"/>
      <name val="Metropolis"/>
    </font>
    <font>
      <b/>
      <sz val="10"/>
      <color rgb="FFFF0000"/>
      <name val="Metropolis"/>
    </font>
    <font>
      <b/>
      <u/>
      <sz val="10"/>
      <name val="Metropolis"/>
    </font>
    <font>
      <b/>
      <u/>
      <sz val="10"/>
      <color theme="0"/>
      <name val="Metropolis"/>
    </font>
    <font>
      <b/>
      <sz val="10.5"/>
      <name val="Metropolis"/>
    </font>
    <font>
      <sz val="10.5"/>
      <color rgb="FFFF0000"/>
      <name val="Metropolis"/>
    </font>
    <font>
      <b/>
      <sz val="10"/>
      <color theme="4"/>
      <name val="Metropolis"/>
    </font>
    <font>
      <sz val="11"/>
      <color theme="0"/>
      <name val="Calibri"/>
      <family val="2"/>
      <scheme val="minor"/>
    </font>
    <font>
      <sz val="10"/>
      <color theme="6"/>
      <name val="Metropolis"/>
    </font>
    <font>
      <sz val="12"/>
      <color rgb="FF454545"/>
      <name val="Helvetica Neue"/>
      <family val="2"/>
    </font>
    <font>
      <i/>
      <sz val="10"/>
      <color theme="1"/>
      <name val="Metropolis"/>
    </font>
    <font>
      <sz val="10"/>
      <color theme="1"/>
      <name val="Calibri"/>
      <family val="2"/>
      <scheme val="minor"/>
    </font>
    <font>
      <b/>
      <sz val="12"/>
      <color theme="0"/>
      <name val="Metropolis"/>
    </font>
    <font>
      <b/>
      <sz val="11"/>
      <color theme="1"/>
      <name val="Calibri"/>
      <family val="2"/>
      <scheme val="minor"/>
    </font>
    <font>
      <sz val="11"/>
      <color rgb="FFFF0000"/>
      <name val="Calibri (Body)_x0000_"/>
    </font>
    <font>
      <b/>
      <sz val="11"/>
      <color rgb="FFFF0000"/>
      <name val="Calibri (Body)_x0000_"/>
    </font>
    <font>
      <b/>
      <sz val="9"/>
      <color rgb="FF000000"/>
      <name val="Tahoma"/>
      <family val="2"/>
    </font>
    <font>
      <sz val="9"/>
      <color rgb="FF000000"/>
      <name val="Tahoma"/>
      <family val="2"/>
    </font>
    <font>
      <i/>
      <sz val="11"/>
      <color theme="1"/>
      <name val="Calibri"/>
      <family val="2"/>
      <scheme val="minor"/>
    </font>
    <font>
      <b/>
      <sz val="12"/>
      <color theme="1"/>
      <name val="Calibri"/>
      <family val="2"/>
      <scheme val="minor"/>
    </font>
  </fonts>
  <fills count="1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4"/>
      </patternFill>
    </fill>
    <fill>
      <patternFill patternType="solid">
        <fgColor theme="4" tint="0.39997558519241921"/>
        <bgColor indexed="65"/>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E5"/>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bgColor indexed="64"/>
      </patternFill>
    </fill>
    <fill>
      <patternFill patternType="solid">
        <fgColor theme="1"/>
        <bgColor theme="1"/>
      </patternFill>
    </fill>
    <fill>
      <patternFill patternType="solid">
        <fgColor theme="0" tint="-0.14999847407452621"/>
        <bgColor theme="0" tint="-0.14999847407452621"/>
      </patternFill>
    </fill>
  </fills>
  <borders count="4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1"/>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style="medium">
        <color indexed="64"/>
      </right>
      <top style="thin">
        <color theme="1"/>
      </top>
      <bottom/>
      <diagonal/>
    </border>
  </borders>
  <cellStyleXfs count="47">
    <xf numFmtId="0" fontId="0" fillId="0" borderId="0"/>
    <xf numFmtId="0" fontId="2"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applyNumberFormat="0" applyFill="0" applyBorder="0" applyAlignment="0" applyProtection="0"/>
    <xf numFmtId="0" fontId="6" fillId="5"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349">
    <xf numFmtId="0" fontId="0" fillId="0" borderId="0" xfId="0"/>
    <xf numFmtId="0" fontId="8" fillId="0" borderId="0" xfId="0" applyFont="1" applyAlignment="1"/>
    <xf numFmtId="0" fontId="8" fillId="0" borderId="0" xfId="0" applyFont="1"/>
    <xf numFmtId="0" fontId="0" fillId="0" borderId="0" xfId="0" applyFont="1"/>
    <xf numFmtId="0" fontId="8" fillId="8" borderId="0" xfId="0" applyFont="1" applyFill="1"/>
    <xf numFmtId="0" fontId="8" fillId="8" borderId="0" xfId="0" applyFont="1" applyFill="1" applyAlignment="1"/>
    <xf numFmtId="0" fontId="8" fillId="0" borderId="0" xfId="0" applyFont="1" applyFill="1" applyAlignment="1"/>
    <xf numFmtId="0" fontId="8" fillId="8" borderId="0" xfId="3" applyFont="1" applyFill="1" applyAlignment="1" applyProtection="1"/>
    <xf numFmtId="0" fontId="8" fillId="8" borderId="0" xfId="3" applyFont="1" applyFill="1" applyAlignment="1" applyProtection="1">
      <alignment wrapText="1"/>
    </xf>
    <xf numFmtId="0" fontId="8" fillId="0" borderId="0" xfId="0" applyFont="1" applyFill="1"/>
    <xf numFmtId="0" fontId="0" fillId="8" borderId="0" xfId="0" applyFill="1"/>
    <xf numFmtId="0" fontId="0" fillId="0" borderId="0" xfId="0" applyFill="1"/>
    <xf numFmtId="0" fontId="0" fillId="8" borderId="0" xfId="0" applyFont="1" applyFill="1"/>
    <xf numFmtId="0" fontId="9" fillId="0" borderId="0" xfId="0" applyFont="1"/>
    <xf numFmtId="0" fontId="11" fillId="8" borderId="0" xfId="0" applyFont="1" applyFill="1"/>
    <xf numFmtId="0" fontId="11" fillId="0" borderId="0" xfId="0" applyFont="1" applyFill="1"/>
    <xf numFmtId="0" fontId="0" fillId="0" borderId="0" xfId="0" applyAlignment="1">
      <alignment wrapText="1"/>
    </xf>
    <xf numFmtId="15" fontId="0" fillId="0" borderId="0" xfId="0" applyNumberFormat="1" applyAlignment="1">
      <alignment horizontal="center" vertical="center"/>
    </xf>
    <xf numFmtId="15" fontId="0" fillId="2" borderId="0" xfId="0" applyNumberFormat="1" applyFill="1" applyAlignment="1">
      <alignment horizontal="center" vertical="center"/>
    </xf>
    <xf numFmtId="0" fontId="0" fillId="2" borderId="0" xfId="0" applyFill="1" applyAlignment="1">
      <alignment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3" borderId="0" xfId="0" applyFont="1" applyFill="1" applyAlignment="1">
      <alignment horizontal="center" vertical="center"/>
    </xf>
    <xf numFmtId="0" fontId="13" fillId="3" borderId="0" xfId="0" applyFont="1" applyFill="1"/>
    <xf numFmtId="0" fontId="13" fillId="11" borderId="0" xfId="0" applyFont="1" applyFill="1"/>
    <xf numFmtId="0" fontId="13" fillId="11" borderId="0" xfId="0" applyFont="1" applyFill="1" applyAlignment="1">
      <alignment horizontal="center" vertical="center"/>
    </xf>
    <xf numFmtId="0" fontId="13" fillId="11" borderId="0" xfId="0" applyFont="1" applyFill="1" applyBorder="1" applyAlignment="1">
      <alignment horizontal="center" vertical="center"/>
    </xf>
    <xf numFmtId="0" fontId="16" fillId="0" borderId="0" xfId="0" applyFont="1"/>
    <xf numFmtId="0" fontId="16" fillId="0" borderId="0" xfId="0" applyFont="1" applyAlignment="1">
      <alignment horizontal="center"/>
    </xf>
    <xf numFmtId="0" fontId="16" fillId="11" borderId="0" xfId="0" applyFont="1" applyFill="1"/>
    <xf numFmtId="0" fontId="23" fillId="7" borderId="0" xfId="0" applyFont="1" applyFill="1" applyAlignment="1">
      <alignment horizontal="center" vertical="center" wrapText="1"/>
    </xf>
    <xf numFmtId="0" fontId="16" fillId="11" borderId="0" xfId="0" applyFont="1" applyFill="1" applyAlignment="1">
      <alignment wrapText="1"/>
    </xf>
    <xf numFmtId="0" fontId="16" fillId="0" borderId="0" xfId="0" applyFont="1" applyAlignment="1">
      <alignment wrapText="1"/>
    </xf>
    <xf numFmtId="0" fontId="23" fillId="13" borderId="0" xfId="0" applyFont="1" applyFill="1" applyAlignment="1">
      <alignment horizontal="center" vertical="center" wrapText="1"/>
    </xf>
    <xf numFmtId="0" fontId="16" fillId="11" borderId="0" xfId="0" applyFont="1" applyFill="1" applyAlignment="1">
      <alignment horizontal="center"/>
    </xf>
    <xf numFmtId="0" fontId="22" fillId="0" borderId="0" xfId="1" applyFont="1" applyFill="1" applyBorder="1" applyAlignment="1"/>
    <xf numFmtId="0" fontId="22" fillId="0" borderId="0" xfId="1" applyFont="1" applyFill="1" applyBorder="1" applyAlignment="1">
      <alignment horizontal="left" wrapText="1"/>
    </xf>
    <xf numFmtId="0" fontId="22" fillId="0" borderId="0" xfId="1" applyFont="1" applyFill="1" applyBorder="1" applyAlignment="1">
      <alignment horizontal="center"/>
    </xf>
    <xf numFmtId="0" fontId="22" fillId="0" borderId="0" xfId="1" applyFont="1" applyFill="1" applyBorder="1" applyAlignment="1">
      <alignment horizontal="left"/>
    </xf>
    <xf numFmtId="0" fontId="22" fillId="0" borderId="0" xfId="1" applyFont="1" applyFill="1" applyBorder="1" applyAlignment="1">
      <alignment vertical="center"/>
    </xf>
    <xf numFmtId="0" fontId="22" fillId="0" borderId="0" xfId="1" applyFont="1" applyFill="1" applyBorder="1" applyAlignment="1">
      <alignment horizontal="left" vertical="center"/>
    </xf>
    <xf numFmtId="0" fontId="22" fillId="0" borderId="0" xfId="1" applyFont="1" applyFill="1" applyBorder="1" applyAlignment="1">
      <alignment horizontal="left" vertical="top"/>
    </xf>
    <xf numFmtId="0" fontId="22" fillId="0" borderId="0" xfId="1" applyFont="1" applyFill="1" applyBorder="1" applyAlignment="1">
      <alignment horizontal="left" vertical="top" wrapText="1"/>
    </xf>
    <xf numFmtId="0" fontId="22" fillId="0" borderId="0" xfId="1" applyFont="1" applyFill="1" applyBorder="1" applyAlignment="1">
      <alignment horizontal="center" vertical="top"/>
    </xf>
    <xf numFmtId="0" fontId="24" fillId="0" borderId="0" xfId="1" applyFont="1" applyFill="1" applyBorder="1" applyAlignment="1">
      <alignment horizontal="left"/>
    </xf>
    <xf numFmtId="0" fontId="25" fillId="7" borderId="9" xfId="1" applyFont="1" applyFill="1" applyBorder="1" applyAlignment="1">
      <alignment horizontal="center" vertical="center" wrapText="1"/>
    </xf>
    <xf numFmtId="0" fontId="25" fillId="7" borderId="2" xfId="1" applyFont="1" applyFill="1" applyBorder="1" applyAlignment="1">
      <alignment horizontal="center" vertical="center" wrapText="1"/>
    </xf>
    <xf numFmtId="0" fontId="25" fillId="7" borderId="10" xfId="1" applyFont="1" applyFill="1" applyBorder="1" applyAlignment="1">
      <alignment horizontal="center" vertical="center" wrapText="1"/>
    </xf>
    <xf numFmtId="0" fontId="24" fillId="0" borderId="0" xfId="1" applyFont="1" applyFill="1" applyBorder="1" applyAlignment="1">
      <alignment horizontal="left" vertical="top"/>
    </xf>
    <xf numFmtId="0" fontId="24" fillId="8" borderId="9" xfId="1" applyFont="1" applyFill="1" applyBorder="1" applyAlignment="1">
      <alignment horizontal="left" vertical="center"/>
    </xf>
    <xf numFmtId="0" fontId="24" fillId="0" borderId="2" xfId="1" applyFont="1" applyFill="1" applyBorder="1" applyAlignment="1">
      <alignment horizontal="left" vertical="center" wrapText="1"/>
    </xf>
    <xf numFmtId="0" fontId="24" fillId="0" borderId="2" xfId="1" applyFont="1" applyFill="1" applyBorder="1" applyAlignment="1">
      <alignment horizontal="center" vertical="center"/>
    </xf>
    <xf numFmtId="0" fontId="24" fillId="0" borderId="10" xfId="1" applyFont="1" applyFill="1" applyBorder="1" applyAlignment="1">
      <alignment horizontal="left" vertical="center" wrapText="1"/>
    </xf>
    <xf numFmtId="0" fontId="24" fillId="0" borderId="0" xfId="1" applyFont="1" applyFill="1" applyBorder="1" applyAlignment="1">
      <alignment horizontal="left" vertical="top" wrapText="1"/>
    </xf>
    <xf numFmtId="0" fontId="24" fillId="0" borderId="0" xfId="1" applyFont="1" applyFill="1" applyBorder="1" applyAlignment="1">
      <alignment horizontal="center" vertical="top"/>
    </xf>
    <xf numFmtId="0" fontId="22" fillId="11" borderId="0" xfId="1" applyFont="1" applyFill="1" applyBorder="1" applyAlignment="1">
      <alignment horizontal="left" vertical="center"/>
    </xf>
    <xf numFmtId="0" fontId="22" fillId="11" borderId="0" xfId="1" applyFont="1" applyFill="1" applyBorder="1" applyAlignment="1">
      <alignment vertical="center"/>
    </xf>
    <xf numFmtId="0" fontId="16" fillId="11" borderId="0" xfId="4" applyFont="1" applyFill="1"/>
    <xf numFmtId="0" fontId="24" fillId="11" borderId="0" xfId="1" applyFont="1" applyFill="1" applyBorder="1" applyAlignment="1">
      <alignment horizontal="left"/>
    </xf>
    <xf numFmtId="0" fontId="24" fillId="11" borderId="0" xfId="1" applyFont="1" applyFill="1" applyBorder="1" applyAlignment="1"/>
    <xf numFmtId="0" fontId="29" fillId="11" borderId="0" xfId="1" applyFont="1" applyFill="1"/>
    <xf numFmtId="0" fontId="24" fillId="11" borderId="0" xfId="1" applyFont="1" applyFill="1" applyBorder="1" applyAlignment="1">
      <alignment horizontal="left" vertical="center"/>
    </xf>
    <xf numFmtId="0" fontId="24" fillId="11" borderId="0" xfId="1" applyFont="1" applyFill="1" applyBorder="1" applyAlignment="1">
      <alignment vertical="center"/>
    </xf>
    <xf numFmtId="0" fontId="24" fillId="0" borderId="0" xfId="1" applyFont="1" applyFill="1" applyBorder="1" applyAlignment="1">
      <alignment horizontal="left" vertical="center"/>
    </xf>
    <xf numFmtId="0" fontId="16" fillId="0" borderId="0" xfId="4" applyFont="1"/>
    <xf numFmtId="0" fontId="31" fillId="11" borderId="0" xfId="4" applyFont="1" applyFill="1" applyBorder="1" applyAlignment="1">
      <alignment horizontal="center"/>
    </xf>
    <xf numFmtId="0" fontId="31" fillId="11" borderId="0" xfId="4" applyFont="1" applyFill="1"/>
    <xf numFmtId="0" fontId="19" fillId="9" borderId="6" xfId="1" applyFont="1" applyFill="1" applyBorder="1" applyAlignment="1">
      <alignment horizontal="left" vertical="center"/>
    </xf>
    <xf numFmtId="0" fontId="27" fillId="2" borderId="2" xfId="1" applyFont="1" applyFill="1" applyBorder="1" applyAlignment="1">
      <alignment vertical="center"/>
    </xf>
    <xf numFmtId="0" fontId="16" fillId="11" borderId="0" xfId="0" applyFont="1" applyFill="1" applyAlignment="1">
      <alignment vertical="center" wrapText="1"/>
    </xf>
    <xf numFmtId="0" fontId="16" fillId="0" borderId="0" xfId="0" applyFont="1" applyAlignment="1">
      <alignment vertical="center" wrapText="1"/>
    </xf>
    <xf numFmtId="0" fontId="16" fillId="12" borderId="0" xfId="0" applyFont="1" applyFill="1" applyAlignment="1">
      <alignment vertical="center"/>
    </xf>
    <xf numFmtId="0" fontId="23" fillId="12" borderId="0" xfId="0" applyFont="1" applyFill="1" applyAlignment="1">
      <alignment horizontal="center" vertical="center"/>
    </xf>
    <xf numFmtId="0" fontId="16" fillId="12" borderId="0" xfId="0" applyFont="1" applyFill="1" applyAlignment="1">
      <alignment horizontal="center" vertical="center"/>
    </xf>
    <xf numFmtId="0" fontId="16" fillId="11" borderId="0" xfId="0" applyFont="1" applyFill="1" applyAlignment="1">
      <alignment vertical="center"/>
    </xf>
    <xf numFmtId="0" fontId="16" fillId="0" borderId="0" xfId="0" applyFont="1" applyAlignment="1">
      <alignment vertical="center"/>
    </xf>
    <xf numFmtId="0" fontId="23" fillId="3" borderId="2" xfId="0" applyFont="1" applyFill="1" applyBorder="1" applyAlignment="1">
      <alignment vertical="center"/>
    </xf>
    <xf numFmtId="0" fontId="16" fillId="3" borderId="2" xfId="0" applyFont="1" applyFill="1" applyBorder="1" applyAlignment="1">
      <alignment vertical="center"/>
    </xf>
    <xf numFmtId="0" fontId="23"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24" fillId="3" borderId="2" xfId="0" applyFont="1" applyFill="1" applyBorder="1" applyAlignment="1">
      <alignment vertical="center"/>
    </xf>
    <xf numFmtId="9" fontId="16" fillId="3" borderId="2" xfId="0" applyNumberFormat="1" applyFont="1" applyFill="1" applyBorder="1" applyAlignment="1">
      <alignment horizontal="center" vertical="center"/>
    </xf>
    <xf numFmtId="0" fontId="16" fillId="8" borderId="2" xfId="0" applyFont="1" applyFill="1" applyBorder="1" applyAlignment="1">
      <alignment horizontal="center" vertical="center"/>
    </xf>
    <xf numFmtId="0" fontId="24" fillId="11" borderId="0" xfId="0" applyFont="1" applyFill="1" applyBorder="1" applyAlignment="1">
      <alignment vertical="center"/>
    </xf>
    <xf numFmtId="0" fontId="16" fillId="11" borderId="0" xfId="0" applyFont="1" applyFill="1" applyBorder="1" applyAlignment="1">
      <alignment vertical="center"/>
    </xf>
    <xf numFmtId="0" fontId="25" fillId="11" borderId="0" xfId="0" applyFont="1" applyFill="1" applyBorder="1" applyAlignment="1">
      <alignment horizontal="right" vertical="center"/>
    </xf>
    <xf numFmtId="0" fontId="23" fillId="11" borderId="0" xfId="0" applyFont="1" applyFill="1" applyBorder="1" applyAlignment="1">
      <alignment horizontal="center" vertical="center"/>
    </xf>
    <xf numFmtId="0" fontId="16" fillId="11" borderId="0" xfId="0" applyFont="1" applyFill="1" applyBorder="1" applyAlignment="1">
      <alignment horizontal="center" vertical="center"/>
    </xf>
    <xf numFmtId="9" fontId="16" fillId="11" borderId="0" xfId="0" applyNumberFormat="1" applyFont="1" applyFill="1" applyBorder="1" applyAlignment="1">
      <alignment horizontal="center" vertical="center"/>
    </xf>
    <xf numFmtId="164" fontId="16" fillId="11" borderId="0" xfId="0" applyNumberFormat="1" applyFont="1" applyFill="1" applyBorder="1" applyAlignment="1">
      <alignment horizontal="center" vertical="center"/>
    </xf>
    <xf numFmtId="0" fontId="23" fillId="11" borderId="0" xfId="0" applyFont="1" applyFill="1" applyAlignment="1">
      <alignment vertical="center"/>
    </xf>
    <xf numFmtId="0" fontId="16" fillId="11" borderId="0" xfId="0" applyFont="1" applyFill="1" applyAlignment="1">
      <alignment horizontal="center" vertical="center"/>
    </xf>
    <xf numFmtId="0" fontId="23" fillId="11" borderId="18" xfId="0" applyFont="1" applyFill="1" applyBorder="1" applyAlignment="1">
      <alignment horizontal="center" vertical="center"/>
    </xf>
    <xf numFmtId="0" fontId="16" fillId="11" borderId="18" xfId="0" applyFont="1" applyFill="1" applyBorder="1" applyAlignment="1">
      <alignment horizontal="center" vertical="center"/>
    </xf>
    <xf numFmtId="0" fontId="23" fillId="8" borderId="3" xfId="0" applyFont="1" applyFill="1" applyBorder="1" applyAlignment="1">
      <alignment vertical="center"/>
    </xf>
    <xf numFmtId="0" fontId="16" fillId="8" borderId="4" xfId="0" applyFont="1" applyFill="1" applyBorder="1" applyAlignment="1">
      <alignment vertical="center"/>
    </xf>
    <xf numFmtId="0" fontId="16" fillId="8" borderId="5" xfId="0" applyFont="1" applyFill="1" applyBorder="1" applyAlignment="1">
      <alignment vertical="center"/>
    </xf>
    <xf numFmtId="0" fontId="16" fillId="0" borderId="0" xfId="0" applyFont="1" applyFill="1" applyBorder="1" applyAlignment="1">
      <alignment vertical="center"/>
    </xf>
    <xf numFmtId="0" fontId="16" fillId="11" borderId="19" xfId="0" applyFont="1" applyFill="1" applyBorder="1" applyAlignment="1">
      <alignment vertical="center"/>
    </xf>
    <xf numFmtId="0" fontId="16" fillId="11" borderId="17" xfId="0" applyFont="1" applyFill="1" applyBorder="1" applyAlignment="1">
      <alignment vertical="center"/>
    </xf>
    <xf numFmtId="1" fontId="16" fillId="11" borderId="0" xfId="0" applyNumberFormat="1" applyFont="1" applyFill="1" applyBorder="1" applyAlignment="1">
      <alignment horizontal="right" vertical="center"/>
    </xf>
    <xf numFmtId="0" fontId="16" fillId="11" borderId="21" xfId="0" applyFont="1" applyFill="1" applyBorder="1" applyAlignment="1">
      <alignment vertical="center"/>
    </xf>
    <xf numFmtId="1" fontId="16" fillId="11" borderId="0" xfId="0" applyNumberFormat="1" applyFont="1" applyFill="1" applyBorder="1" applyAlignment="1">
      <alignment vertical="center"/>
    </xf>
    <xf numFmtId="0" fontId="23" fillId="13" borderId="17" xfId="0" applyFont="1" applyFill="1" applyBorder="1" applyAlignment="1">
      <alignment vertical="center"/>
    </xf>
    <xf numFmtId="0" fontId="23" fillId="13" borderId="0" xfId="0" applyFont="1" applyFill="1" applyBorder="1" applyAlignment="1">
      <alignment vertical="center"/>
    </xf>
    <xf numFmtId="0" fontId="23" fillId="13" borderId="0" xfId="0" applyFont="1" applyFill="1" applyBorder="1" applyAlignment="1">
      <alignment horizontal="center" vertical="center"/>
    </xf>
    <xf numFmtId="0" fontId="23" fillId="13" borderId="19" xfId="0" applyFont="1" applyFill="1" applyBorder="1" applyAlignment="1">
      <alignment horizontal="center" vertical="center"/>
    </xf>
    <xf numFmtId="0" fontId="23" fillId="11" borderId="17" xfId="0" applyFont="1" applyFill="1" applyBorder="1" applyAlignment="1">
      <alignment vertical="center"/>
    </xf>
    <xf numFmtId="0" fontId="23" fillId="11" borderId="19" xfId="0" applyFont="1" applyFill="1" applyBorder="1" applyAlignment="1">
      <alignment horizontal="center" vertical="center"/>
    </xf>
    <xf numFmtId="1" fontId="16" fillId="11" borderId="0" xfId="0" applyNumberFormat="1" applyFont="1" applyFill="1" applyBorder="1" applyAlignment="1">
      <alignment horizontal="center" vertical="center"/>
    </xf>
    <xf numFmtId="1" fontId="16" fillId="11" borderId="19" xfId="0" applyNumberFormat="1" applyFont="1" applyFill="1" applyBorder="1" applyAlignment="1">
      <alignment horizontal="center" vertical="center"/>
    </xf>
    <xf numFmtId="0" fontId="16" fillId="11" borderId="20" xfId="0" applyFont="1" applyFill="1" applyBorder="1" applyAlignment="1">
      <alignment vertical="center"/>
    </xf>
    <xf numFmtId="0" fontId="16" fillId="11" borderId="18" xfId="0" applyFont="1" applyFill="1" applyBorder="1" applyAlignment="1">
      <alignment vertical="center"/>
    </xf>
    <xf numFmtId="1" fontId="16" fillId="11" borderId="18" xfId="0" applyNumberFormat="1" applyFont="1" applyFill="1" applyBorder="1" applyAlignment="1">
      <alignment horizontal="right" vertical="center"/>
    </xf>
    <xf numFmtId="1" fontId="16" fillId="11" borderId="18" xfId="0" applyNumberFormat="1" applyFont="1" applyFill="1" applyBorder="1" applyAlignment="1">
      <alignment vertical="center"/>
    </xf>
    <xf numFmtId="0" fontId="23" fillId="11" borderId="0" xfId="0" applyFont="1" applyFill="1" applyBorder="1" applyAlignment="1">
      <alignment vertical="center"/>
    </xf>
    <xf numFmtId="0" fontId="16" fillId="11" borderId="17" xfId="0" applyFont="1" applyFill="1" applyBorder="1" applyAlignment="1">
      <alignment horizontal="right" vertical="center"/>
    </xf>
    <xf numFmtId="2" fontId="16" fillId="11" borderId="0" xfId="0" applyNumberFormat="1" applyFont="1" applyFill="1" applyBorder="1" applyAlignment="1">
      <alignment horizontal="right" vertical="center"/>
    </xf>
    <xf numFmtId="0" fontId="16" fillId="11" borderId="20" xfId="0" applyFont="1" applyFill="1" applyBorder="1" applyAlignment="1">
      <alignment horizontal="right" vertical="center"/>
    </xf>
    <xf numFmtId="2" fontId="16" fillId="11" borderId="18" xfId="0" applyNumberFormat="1" applyFont="1" applyFill="1" applyBorder="1" applyAlignment="1">
      <alignment horizontal="right" vertical="center"/>
    </xf>
    <xf numFmtId="0" fontId="17" fillId="12" borderId="0" xfId="0" applyFont="1" applyFill="1" applyAlignment="1">
      <alignment vertical="center"/>
    </xf>
    <xf numFmtId="0" fontId="16" fillId="11" borderId="0" xfId="4" applyFont="1" applyFill="1" applyAlignment="1">
      <alignment vertical="center"/>
    </xf>
    <xf numFmtId="0" fontId="15" fillId="11" borderId="0" xfId="4" applyFont="1" applyFill="1" applyBorder="1" applyAlignment="1">
      <alignment vertical="center"/>
    </xf>
    <xf numFmtId="0" fontId="16" fillId="0" borderId="0" xfId="4" applyFont="1" applyAlignment="1">
      <alignment vertical="center"/>
    </xf>
    <xf numFmtId="0" fontId="23" fillId="7" borderId="9" xfId="4" applyFont="1" applyFill="1" applyBorder="1" applyAlignment="1">
      <alignment horizontal="center" vertical="center"/>
    </xf>
    <xf numFmtId="0" fontId="23" fillId="7" borderId="2" xfId="4" applyFont="1" applyFill="1" applyBorder="1" applyAlignment="1">
      <alignment horizontal="center" vertical="center"/>
    </xf>
    <xf numFmtId="0" fontId="23" fillId="7" borderId="10" xfId="4" applyFont="1" applyFill="1" applyBorder="1" applyAlignment="1">
      <alignment horizontal="center" vertical="center"/>
    </xf>
    <xf numFmtId="0" fontId="23" fillId="11" borderId="0" xfId="4" applyFont="1" applyFill="1" applyBorder="1" applyAlignment="1">
      <alignment horizontal="center" vertical="center"/>
    </xf>
    <xf numFmtId="0" fontId="31" fillId="11" borderId="0" xfId="4" applyFont="1" applyFill="1" applyBorder="1" applyAlignment="1">
      <alignment horizontal="center" vertical="center"/>
    </xf>
    <xf numFmtId="0" fontId="31" fillId="8" borderId="2" xfId="4" applyFont="1" applyFill="1" applyBorder="1" applyAlignment="1">
      <alignment horizontal="left" vertical="center"/>
    </xf>
    <xf numFmtId="0" fontId="31" fillId="11" borderId="0" xfId="4" applyFont="1" applyFill="1" applyAlignment="1">
      <alignment vertical="center"/>
    </xf>
    <xf numFmtId="0" fontId="31" fillId="11" borderId="0" xfId="4" applyFont="1" applyFill="1" applyBorder="1" applyAlignment="1">
      <alignment vertical="center"/>
    </xf>
    <xf numFmtId="2" fontId="16" fillId="11" borderId="0" xfId="4" applyNumberFormat="1" applyFont="1" applyFill="1" applyAlignment="1">
      <alignment vertical="center"/>
    </xf>
    <xf numFmtId="0" fontId="27" fillId="9" borderId="7" xfId="1" applyFont="1" applyFill="1" applyBorder="1" applyAlignment="1">
      <alignment horizontal="left" vertical="center"/>
    </xf>
    <xf numFmtId="0" fontId="15" fillId="9" borderId="7" xfId="1" applyFont="1" applyFill="1" applyBorder="1" applyAlignment="1">
      <alignment horizontal="left" vertical="center" wrapText="1"/>
    </xf>
    <xf numFmtId="0" fontId="15" fillId="9" borderId="7" xfId="1" applyFont="1" applyFill="1" applyBorder="1" applyAlignment="1">
      <alignment horizontal="center" vertical="center"/>
    </xf>
    <xf numFmtId="0" fontId="15" fillId="9" borderId="8" xfId="1" applyFont="1" applyFill="1" applyBorder="1" applyAlignment="1">
      <alignment horizontal="left" vertical="center"/>
    </xf>
    <xf numFmtId="0" fontId="27" fillId="9" borderId="2" xfId="1" applyFont="1" applyFill="1" applyBorder="1" applyAlignment="1">
      <alignment horizontal="center" vertical="center"/>
    </xf>
    <xf numFmtId="0" fontId="15" fillId="2" borderId="2" xfId="1" applyFont="1" applyFill="1" applyBorder="1" applyAlignment="1">
      <alignment vertical="center"/>
    </xf>
    <xf numFmtId="0" fontId="24" fillId="8" borderId="2" xfId="1" applyFont="1" applyFill="1" applyBorder="1" applyAlignment="1">
      <alignment vertical="center"/>
    </xf>
    <xf numFmtId="0" fontId="20" fillId="9" borderId="0" xfId="1" applyFont="1" applyFill="1" applyBorder="1" applyAlignment="1">
      <alignment horizontal="left" vertical="center"/>
    </xf>
    <xf numFmtId="43" fontId="25" fillId="10" borderId="2" xfId="2" applyFont="1" applyFill="1" applyBorder="1" applyAlignment="1">
      <alignment horizontal="center" vertical="center"/>
    </xf>
    <xf numFmtId="43" fontId="25" fillId="10" borderId="1" xfId="2" applyFont="1" applyFill="1" applyBorder="1" applyAlignment="1">
      <alignment horizontal="center" vertical="center"/>
    </xf>
    <xf numFmtId="43" fontId="25" fillId="10" borderId="1" xfId="2" applyFont="1" applyFill="1" applyBorder="1" applyAlignment="1" applyProtection="1">
      <alignment horizontal="center" vertical="center"/>
      <protection locked="0"/>
    </xf>
    <xf numFmtId="0" fontId="29" fillId="0" borderId="0" xfId="1" applyFont="1"/>
    <xf numFmtId="0" fontId="24" fillId="0" borderId="0" xfId="1" applyFont="1" applyFill="1" applyBorder="1" applyAlignment="1"/>
    <xf numFmtId="0" fontId="24" fillId="0" borderId="0" xfId="1" applyFont="1" applyFill="1" applyBorder="1" applyAlignment="1">
      <alignment vertical="center"/>
    </xf>
    <xf numFmtId="0" fontId="27" fillId="9" borderId="0" xfId="1" applyFont="1" applyFill="1" applyBorder="1" applyAlignment="1">
      <alignment horizontal="left" vertical="center"/>
    </xf>
    <xf numFmtId="0" fontId="27" fillId="9" borderId="0" xfId="1" applyFont="1" applyFill="1" applyBorder="1" applyAlignment="1">
      <alignment horizontal="left" vertical="center" indent="1"/>
    </xf>
    <xf numFmtId="0" fontId="34" fillId="0" borderId="0" xfId="1" applyFont="1" applyFill="1" applyBorder="1"/>
    <xf numFmtId="0" fontId="27" fillId="2" borderId="22" xfId="1" applyFont="1" applyFill="1" applyBorder="1" applyAlignment="1">
      <alignment vertical="center"/>
    </xf>
    <xf numFmtId="0" fontId="24" fillId="8" borderId="2" xfId="1" applyFont="1" applyFill="1" applyBorder="1" applyAlignment="1" applyProtection="1">
      <alignment horizontal="left" vertical="center"/>
    </xf>
    <xf numFmtId="0" fontId="27" fillId="2" borderId="0" xfId="1" applyFont="1" applyFill="1" applyBorder="1" applyAlignment="1">
      <alignment horizontal="left" vertical="center"/>
    </xf>
    <xf numFmtId="0" fontId="27" fillId="2" borderId="2" xfId="1" applyFont="1" applyFill="1" applyBorder="1" applyAlignment="1">
      <alignment horizontal="left" vertical="center"/>
    </xf>
    <xf numFmtId="0" fontId="34" fillId="0" borderId="0" xfId="1" applyFont="1" applyFill="1" applyBorder="1" applyAlignment="1">
      <alignment vertical="center"/>
    </xf>
    <xf numFmtId="0" fontId="35" fillId="0" borderId="0" xfId="1" applyFont="1" applyFill="1" applyBorder="1" applyAlignment="1">
      <alignment vertical="center"/>
    </xf>
    <xf numFmtId="0" fontId="15" fillId="0" borderId="0" xfId="1" applyFont="1" applyFill="1" applyBorder="1" applyAlignment="1">
      <alignment vertical="center"/>
    </xf>
    <xf numFmtId="0" fontId="16" fillId="11" borderId="0" xfId="0" applyFont="1" applyFill="1" applyAlignment="1">
      <alignment vertical="center"/>
    </xf>
    <xf numFmtId="0" fontId="16" fillId="0" borderId="0" xfId="0" applyFont="1" applyAlignment="1">
      <alignment vertical="center"/>
    </xf>
    <xf numFmtId="0" fontId="24" fillId="0" borderId="12" xfId="1" applyFont="1" applyFill="1" applyBorder="1" applyAlignment="1">
      <alignment horizontal="left" vertical="center" wrapText="1"/>
    </xf>
    <xf numFmtId="0" fontId="24" fillId="0" borderId="12" xfId="1" applyFont="1" applyFill="1" applyBorder="1" applyAlignment="1">
      <alignment horizontal="center" vertical="center"/>
    </xf>
    <xf numFmtId="0" fontId="24" fillId="0" borderId="13" xfId="1" applyFont="1" applyFill="1" applyBorder="1" applyAlignment="1">
      <alignment horizontal="left" vertical="center" wrapText="1"/>
    </xf>
    <xf numFmtId="0" fontId="27" fillId="9" borderId="2" xfId="1" applyFont="1" applyFill="1" applyBorder="1" applyAlignment="1">
      <alignment horizontal="center" vertical="center"/>
    </xf>
    <xf numFmtId="0" fontId="16" fillId="11" borderId="0" xfId="0" applyFont="1" applyFill="1" applyAlignment="1">
      <alignment vertical="center"/>
    </xf>
    <xf numFmtId="0" fontId="16" fillId="0" borderId="0" xfId="0" applyFont="1" applyAlignment="1">
      <alignment vertical="center"/>
    </xf>
    <xf numFmtId="0" fontId="39" fillId="0" borderId="0" xfId="0" applyFont="1" applyAlignment="1"/>
    <xf numFmtId="0" fontId="0" fillId="0" borderId="0" xfId="0" applyFont="1" applyFill="1" applyAlignment="1"/>
    <xf numFmtId="0" fontId="20" fillId="9" borderId="0" xfId="1" applyFont="1" applyFill="1" applyBorder="1" applyAlignment="1">
      <alignment horizontal="left"/>
    </xf>
    <xf numFmtId="164" fontId="16" fillId="12" borderId="0" xfId="0" applyNumberFormat="1" applyFont="1" applyFill="1" applyAlignment="1">
      <alignment horizontal="center" vertical="center"/>
    </xf>
    <xf numFmtId="164" fontId="16" fillId="3" borderId="2" xfId="0" applyNumberFormat="1" applyFont="1" applyFill="1" applyBorder="1" applyAlignment="1">
      <alignment horizontal="center" vertical="center"/>
    </xf>
    <xf numFmtId="0" fontId="24" fillId="0" borderId="0" xfId="1" applyFont="1" applyFill="1" applyBorder="1" applyAlignment="1">
      <alignment horizontal="left" vertical="center" wrapText="1"/>
    </xf>
    <xf numFmtId="15" fontId="0" fillId="0" borderId="0" xfId="0" applyNumberFormat="1" applyAlignment="1">
      <alignment horizontal="center" vertical="center"/>
    </xf>
    <xf numFmtId="0" fontId="27" fillId="9" borderId="2" xfId="1" applyFont="1" applyFill="1" applyBorder="1" applyAlignment="1">
      <alignment horizontal="center" vertical="center"/>
    </xf>
    <xf numFmtId="0" fontId="15" fillId="2" borderId="2" xfId="1" applyFont="1" applyFill="1" applyBorder="1" applyAlignment="1">
      <alignment horizontal="left" vertical="center"/>
    </xf>
    <xf numFmtId="0" fontId="24" fillId="10" borderId="2" xfId="1" applyFont="1" applyFill="1" applyBorder="1" applyAlignment="1" applyProtection="1">
      <alignment vertical="center"/>
      <protection locked="0"/>
    </xf>
    <xf numFmtId="0" fontId="16" fillId="10" borderId="2" xfId="0" applyFont="1" applyFill="1" applyBorder="1" applyAlignment="1" applyProtection="1">
      <alignment horizontal="center" vertical="center"/>
      <protection locked="0"/>
    </xf>
    <xf numFmtId="0" fontId="24" fillId="10" borderId="2" xfId="1" applyFont="1" applyFill="1" applyBorder="1" applyAlignment="1" applyProtection="1">
      <alignment horizontal="left" vertical="center"/>
      <protection locked="0"/>
    </xf>
    <xf numFmtId="0" fontId="16" fillId="10" borderId="10" xfId="4" applyFont="1" applyFill="1" applyBorder="1" applyAlignment="1" applyProtection="1">
      <alignment horizontal="center" vertical="center"/>
      <protection locked="0"/>
    </xf>
    <xf numFmtId="0" fontId="30" fillId="10" borderId="10" xfId="4" applyFont="1" applyFill="1" applyBorder="1" applyAlignment="1" applyProtection="1">
      <alignment horizontal="center" vertical="center"/>
      <protection locked="0"/>
    </xf>
    <xf numFmtId="0" fontId="38" fillId="10" borderId="13" xfId="4" applyFont="1" applyFill="1" applyBorder="1" applyAlignment="1" applyProtection="1">
      <alignment horizontal="center" vertical="center"/>
      <protection locked="0"/>
    </xf>
    <xf numFmtId="0" fontId="15" fillId="0" borderId="10" xfId="1" applyFont="1" applyFill="1" applyBorder="1" applyAlignment="1">
      <alignment horizontal="left" vertical="center" wrapText="1"/>
    </xf>
    <xf numFmtId="0" fontId="40" fillId="8" borderId="2" xfId="4" applyFont="1" applyFill="1" applyBorder="1" applyAlignment="1">
      <alignment horizontal="left" vertical="center" wrapText="1"/>
    </xf>
    <xf numFmtId="0" fontId="29" fillId="8" borderId="12" xfId="4" applyFont="1" applyFill="1" applyBorder="1" applyAlignment="1">
      <alignment horizontal="left" vertical="center"/>
    </xf>
    <xf numFmtId="15" fontId="0" fillId="0" borderId="0" xfId="0" applyNumberFormat="1" applyAlignment="1">
      <alignment horizontal="center" vertical="center"/>
    </xf>
    <xf numFmtId="0" fontId="41" fillId="0" borderId="0" xfId="0" applyFont="1"/>
    <xf numFmtId="0" fontId="24" fillId="10" borderId="2" xfId="1" applyFont="1" applyFill="1" applyBorder="1" applyAlignment="1" applyProtection="1">
      <alignment horizontal="left" vertical="center"/>
      <protection locked="0"/>
    </xf>
    <xf numFmtId="15" fontId="0" fillId="0" borderId="0" xfId="0" applyNumberFormat="1" applyAlignment="1">
      <alignment horizontal="center" vertical="center"/>
    </xf>
    <xf numFmtId="15" fontId="0" fillId="0" borderId="0" xfId="0" applyNumberFormat="1" applyAlignment="1">
      <alignment horizontal="center" vertical="center"/>
    </xf>
    <xf numFmtId="0" fontId="24" fillId="10" borderId="2" xfId="1" applyFont="1" applyFill="1" applyBorder="1" applyAlignment="1" applyProtection="1">
      <alignment horizontal="left" vertical="center"/>
      <protection locked="0"/>
    </xf>
    <xf numFmtId="0" fontId="24" fillId="10" borderId="2" xfId="1" applyFont="1" applyFill="1" applyBorder="1" applyAlignment="1" applyProtection="1">
      <alignment vertical="center"/>
      <protection locked="0"/>
    </xf>
    <xf numFmtId="15" fontId="0" fillId="0" borderId="0" xfId="0" applyNumberFormat="1" applyAlignment="1">
      <alignment horizontal="center" vertical="center"/>
    </xf>
    <xf numFmtId="0" fontId="16" fillId="8" borderId="9" xfId="4" applyFont="1" applyFill="1" applyBorder="1" applyProtection="1"/>
    <xf numFmtId="0" fontId="16" fillId="8" borderId="11" xfId="4" applyFont="1" applyFill="1" applyBorder="1" applyProtection="1"/>
    <xf numFmtId="0" fontId="24" fillId="10" borderId="12" xfId="1" applyFont="1" applyFill="1" applyBorder="1" applyAlignment="1" applyProtection="1">
      <alignment horizontal="left" vertical="center"/>
      <protection locked="0"/>
    </xf>
    <xf numFmtId="0" fontId="16" fillId="0" borderId="0" xfId="0" applyFont="1" applyBorder="1" applyAlignment="1">
      <alignment vertical="center" wrapText="1"/>
    </xf>
    <xf numFmtId="0" fontId="14" fillId="0" borderId="0" xfId="0" applyFont="1" applyBorder="1" applyAlignment="1">
      <alignment vertical="center" wrapText="1"/>
    </xf>
    <xf numFmtId="0" fontId="27" fillId="9" borderId="27" xfId="4" applyFont="1" applyFill="1" applyBorder="1" applyAlignment="1" applyProtection="1">
      <alignment vertical="center"/>
    </xf>
    <xf numFmtId="0" fontId="15" fillId="2" borderId="28" xfId="1" applyFont="1" applyFill="1" applyBorder="1" applyAlignment="1" applyProtection="1">
      <alignment vertical="center"/>
    </xf>
    <xf numFmtId="0" fontId="16" fillId="10" borderId="29" xfId="4" applyFont="1" applyFill="1" applyBorder="1" applyAlignment="1" applyProtection="1">
      <alignment horizontal="center" vertical="center"/>
      <protection locked="0"/>
    </xf>
    <xf numFmtId="0" fontId="23" fillId="7" borderId="6" xfId="4" applyFont="1" applyFill="1" applyBorder="1" applyAlignment="1" applyProtection="1">
      <alignment horizontal="center" vertical="center"/>
    </xf>
    <xf numFmtId="15" fontId="0" fillId="0" borderId="0" xfId="0" applyNumberFormat="1" applyAlignment="1">
      <alignment horizontal="center" vertical="center"/>
    </xf>
    <xf numFmtId="0" fontId="24" fillId="10" borderId="2" xfId="1" applyFont="1" applyFill="1" applyBorder="1" applyAlignment="1" applyProtection="1">
      <alignment horizontal="left" vertical="center"/>
      <protection locked="0"/>
    </xf>
    <xf numFmtId="15" fontId="0" fillId="0" borderId="0" xfId="0" applyNumberFormat="1" applyAlignment="1">
      <alignment horizontal="center" vertical="center"/>
    </xf>
    <xf numFmtId="15" fontId="0" fillId="0" borderId="0" xfId="0" applyNumberFormat="1" applyAlignment="1">
      <alignment horizontal="center" vertical="center"/>
    </xf>
    <xf numFmtId="15" fontId="0" fillId="0" borderId="0" xfId="0" applyNumberFormat="1" applyAlignment="1">
      <alignment horizontal="center" vertical="center"/>
    </xf>
    <xf numFmtId="0" fontId="24" fillId="8" borderId="11" xfId="1" applyFont="1" applyFill="1" applyBorder="1" applyAlignment="1" applyProtection="1">
      <alignment horizontal="left" vertical="center"/>
    </xf>
    <xf numFmtId="15" fontId="0" fillId="0" borderId="0" xfId="0" applyNumberFormat="1" applyAlignment="1">
      <alignment horizontal="center" vertical="center"/>
    </xf>
    <xf numFmtId="0" fontId="24" fillId="10" borderId="2" xfId="1" applyFont="1" applyFill="1" applyBorder="1" applyAlignment="1" applyProtection="1">
      <alignment horizontal="left" vertical="center"/>
      <protection locked="0"/>
    </xf>
    <xf numFmtId="15" fontId="0" fillId="0" borderId="0" xfId="0" applyNumberFormat="1" applyAlignment="1">
      <alignment horizontal="center" vertical="center"/>
    </xf>
    <xf numFmtId="0" fontId="24" fillId="10" borderId="2" xfId="1" applyFont="1" applyFill="1" applyBorder="1" applyAlignment="1" applyProtection="1">
      <alignment horizontal="left" vertical="center"/>
      <protection locked="0"/>
    </xf>
    <xf numFmtId="2" fontId="27" fillId="9" borderId="9" xfId="4" applyNumberFormat="1" applyFont="1" applyFill="1" applyBorder="1" applyAlignment="1">
      <alignment horizontal="left" vertical="center"/>
    </xf>
    <xf numFmtId="2" fontId="27" fillId="9" borderId="2" xfId="4" applyNumberFormat="1" applyFont="1" applyFill="1" applyBorder="1" applyAlignment="1">
      <alignment horizontal="left" vertical="center"/>
    </xf>
    <xf numFmtId="0" fontId="23" fillId="10" borderId="6" xfId="4" applyFont="1" applyFill="1" applyBorder="1" applyAlignment="1" applyProtection="1">
      <alignment horizontal="center" vertical="center"/>
      <protection locked="0"/>
    </xf>
    <xf numFmtId="0" fontId="23" fillId="10" borderId="7" xfId="4" applyFont="1" applyFill="1" applyBorder="1" applyAlignment="1" applyProtection="1">
      <alignment horizontal="center" vertical="center"/>
      <protection locked="0"/>
    </xf>
    <xf numFmtId="0" fontId="23" fillId="10" borderId="8" xfId="4" applyFont="1" applyFill="1" applyBorder="1" applyAlignment="1" applyProtection="1">
      <alignment horizontal="center" vertical="center"/>
      <protection locked="0"/>
    </xf>
    <xf numFmtId="2" fontId="27" fillId="9" borderId="11" xfId="4" applyNumberFormat="1" applyFont="1" applyFill="1" applyBorder="1" applyAlignment="1">
      <alignment horizontal="left" vertical="center"/>
    </xf>
    <xf numFmtId="2" fontId="27" fillId="9" borderId="12" xfId="4" applyNumberFormat="1" applyFont="1" applyFill="1" applyBorder="1" applyAlignment="1">
      <alignment horizontal="left" vertical="center"/>
    </xf>
    <xf numFmtId="15" fontId="0" fillId="0" borderId="0" xfId="0" applyNumberFormat="1" applyAlignment="1">
      <alignment horizontal="center" vertical="center"/>
    </xf>
    <xf numFmtId="0" fontId="0" fillId="11" borderId="0" xfId="0" applyFill="1" applyAlignment="1">
      <alignment horizontal="center"/>
    </xf>
    <xf numFmtId="0" fontId="0" fillId="11" borderId="0" xfId="0" applyFill="1"/>
    <xf numFmtId="0" fontId="0" fillId="14" borderId="0" xfId="0" applyFill="1" applyAlignment="1">
      <alignment horizontal="center"/>
    </xf>
    <xf numFmtId="0" fontId="0" fillId="0" borderId="0" xfId="0" applyAlignment="1">
      <alignment horizontal="center"/>
    </xf>
    <xf numFmtId="0" fontId="45" fillId="0" borderId="0" xfId="0" applyFont="1" applyAlignment="1">
      <alignment horizontal="center"/>
    </xf>
    <xf numFmtId="0" fontId="45" fillId="0" borderId="0" xfId="0" applyFont="1"/>
    <xf numFmtId="0" fontId="0" fillId="11" borderId="0" xfId="0" applyFill="1" applyBorder="1" applyAlignment="1">
      <alignment horizontal="left" vertical="top"/>
    </xf>
    <xf numFmtId="0" fontId="0" fillId="0" borderId="0" xfId="0" applyProtection="1">
      <protection locked="0"/>
    </xf>
    <xf numFmtId="0" fontId="24" fillId="10" borderId="2" xfId="1" applyFont="1" applyFill="1" applyBorder="1" applyAlignment="1" applyProtection="1">
      <alignment vertical="center"/>
      <protection locked="0"/>
    </xf>
    <xf numFmtId="49" fontId="24" fillId="10" borderId="2" xfId="1" applyNumberFormat="1" applyFont="1" applyFill="1" applyBorder="1" applyAlignment="1" applyProtection="1">
      <alignment vertical="center"/>
      <protection locked="0"/>
    </xf>
    <xf numFmtId="0" fontId="27" fillId="9" borderId="2" xfId="1" applyFont="1" applyFill="1" applyBorder="1" applyAlignment="1" applyProtection="1">
      <alignment horizontal="center" vertical="center"/>
    </xf>
    <xf numFmtId="0" fontId="16" fillId="10" borderId="2" xfId="1" applyNumberFormat="1" applyFont="1" applyFill="1" applyBorder="1" applyAlignment="1" applyProtection="1">
      <alignment vertical="center"/>
      <protection locked="0"/>
    </xf>
    <xf numFmtId="15" fontId="0" fillId="0" borderId="0" xfId="0" applyNumberFormat="1" applyAlignment="1">
      <alignment horizontal="center" vertical="center"/>
    </xf>
    <xf numFmtId="49" fontId="30" fillId="10" borderId="2" xfId="1" applyNumberFormat="1" applyFont="1" applyFill="1" applyBorder="1" applyAlignment="1" applyProtection="1">
      <alignment vertical="center"/>
      <protection locked="0"/>
    </xf>
    <xf numFmtId="49" fontId="30" fillId="10" borderId="2" xfId="4" applyNumberFormat="1" applyFont="1" applyFill="1" applyBorder="1" applyAlignment="1" applyProtection="1">
      <alignment horizontal="center" vertical="center"/>
      <protection locked="0"/>
    </xf>
    <xf numFmtId="49" fontId="16" fillId="10" borderId="2" xfId="4" applyNumberFormat="1" applyFont="1" applyFill="1" applyBorder="1" applyAlignment="1" applyProtection="1">
      <alignment horizontal="center" vertical="center"/>
      <protection locked="0"/>
    </xf>
    <xf numFmtId="49" fontId="30" fillId="10" borderId="9" xfId="4" applyNumberFormat="1" applyFont="1" applyFill="1" applyBorder="1" applyAlignment="1" applyProtection="1">
      <alignment horizontal="center" vertical="center"/>
      <protection locked="0"/>
    </xf>
    <xf numFmtId="49" fontId="16" fillId="10" borderId="9" xfId="4" applyNumberFormat="1" applyFont="1" applyFill="1" applyBorder="1" applyAlignment="1" applyProtection="1">
      <alignment horizontal="center" vertical="center"/>
      <protection locked="0"/>
    </xf>
    <xf numFmtId="49" fontId="38" fillId="10" borderId="11" xfId="4" applyNumberFormat="1" applyFont="1" applyFill="1" applyBorder="1" applyAlignment="1" applyProtection="1">
      <alignment horizontal="center" vertical="center"/>
      <protection locked="0"/>
    </xf>
    <xf numFmtId="49" fontId="30" fillId="10" borderId="10" xfId="4" applyNumberFormat="1" applyFont="1" applyFill="1" applyBorder="1" applyAlignment="1" applyProtection="1">
      <alignment horizontal="center" vertical="center"/>
      <protection locked="0"/>
    </xf>
    <xf numFmtId="49" fontId="16" fillId="10" borderId="12" xfId="4" applyNumberFormat="1" applyFont="1" applyFill="1" applyBorder="1" applyAlignment="1" applyProtection="1">
      <alignment horizontal="center" vertical="center"/>
      <protection locked="0"/>
    </xf>
    <xf numFmtId="49" fontId="16" fillId="10" borderId="10" xfId="4" applyNumberFormat="1" applyFont="1" applyFill="1" applyBorder="1" applyAlignment="1" applyProtection="1">
      <alignment horizontal="center" vertical="center"/>
      <protection locked="0"/>
    </xf>
    <xf numFmtId="49" fontId="16" fillId="10" borderId="13" xfId="4" applyNumberFormat="1" applyFont="1" applyFill="1" applyBorder="1" applyAlignment="1" applyProtection="1">
      <alignment horizontal="center" vertical="center"/>
      <protection locked="0"/>
    </xf>
    <xf numFmtId="49" fontId="23" fillId="8" borderId="12" xfId="4" applyNumberFormat="1" applyFont="1" applyFill="1" applyBorder="1" applyAlignment="1" applyProtection="1">
      <alignment horizontal="center" vertical="center"/>
    </xf>
    <xf numFmtId="15" fontId="0" fillId="0" borderId="0" xfId="0" applyNumberFormat="1" applyAlignment="1">
      <alignment horizontal="center" vertical="center"/>
    </xf>
    <xf numFmtId="15" fontId="0" fillId="0" borderId="0" xfId="0" applyNumberFormat="1" applyAlignment="1">
      <alignment horizontal="center" vertical="center"/>
    </xf>
    <xf numFmtId="0" fontId="24" fillId="10" borderId="2" xfId="1" applyFont="1" applyFill="1" applyBorder="1" applyAlignment="1" applyProtection="1">
      <alignment horizontal="left" vertical="center"/>
      <protection locked="0"/>
    </xf>
    <xf numFmtId="0" fontId="24" fillId="10" borderId="2" xfId="1" applyFont="1" applyFill="1" applyBorder="1" applyAlignment="1" applyProtection="1">
      <alignment horizontal="left" vertical="center"/>
      <protection locked="0"/>
    </xf>
    <xf numFmtId="0" fontId="0" fillId="8" borderId="0" xfId="3" applyFont="1" applyFill="1" applyAlignment="1" applyProtection="1"/>
    <xf numFmtId="15" fontId="0" fillId="0" borderId="0" xfId="0" applyNumberFormat="1" applyAlignment="1">
      <alignment horizontal="center" vertical="center"/>
    </xf>
    <xf numFmtId="0" fontId="13" fillId="6" borderId="32" xfId="0" applyFont="1" applyFill="1" applyBorder="1" applyAlignment="1">
      <alignment horizontal="center" vertical="center"/>
    </xf>
    <xf numFmtId="0" fontId="13" fillId="6" borderId="32" xfId="0" applyFont="1" applyFill="1" applyBorder="1" applyAlignment="1">
      <alignment horizontal="center" vertical="center" wrapText="1"/>
    </xf>
    <xf numFmtId="0" fontId="13" fillId="6" borderId="32" xfId="0" applyFont="1" applyFill="1" applyBorder="1" applyAlignment="1">
      <alignment horizontal="left" vertical="center" wrapText="1"/>
    </xf>
    <xf numFmtId="0" fontId="43" fillId="11" borderId="0" xfId="0" applyFont="1" applyFill="1" applyBorder="1" applyAlignment="1">
      <alignment horizontal="left" vertical="center" wrapText="1"/>
    </xf>
    <xf numFmtId="0" fontId="51" fillId="8" borderId="33" xfId="0" applyFont="1" applyFill="1" applyBorder="1" applyAlignment="1">
      <alignment horizontal="center" vertical="center" wrapText="1"/>
    </xf>
    <xf numFmtId="0" fontId="16" fillId="0" borderId="32" xfId="0" applyFont="1" applyBorder="1" applyAlignment="1">
      <alignment horizontal="left" vertical="center" wrapText="1"/>
    </xf>
    <xf numFmtId="0" fontId="16" fillId="16" borderId="32" xfId="0" applyFont="1" applyFill="1" applyBorder="1" applyAlignment="1">
      <alignment horizontal="left" vertical="center" wrapText="1"/>
    </xf>
    <xf numFmtId="0" fontId="16" fillId="0" borderId="32" xfId="0" applyFont="1" applyBorder="1" applyAlignment="1">
      <alignment horizontal="center" vertical="center"/>
    </xf>
    <xf numFmtId="0" fontId="16" fillId="16" borderId="32" xfId="0" applyFont="1" applyFill="1" applyBorder="1" applyAlignment="1">
      <alignment horizontal="center" vertical="center"/>
    </xf>
    <xf numFmtId="0" fontId="16" fillId="0" borderId="34" xfId="0" applyFont="1" applyBorder="1" applyAlignment="1">
      <alignment horizontal="center" vertical="center"/>
    </xf>
    <xf numFmtId="0" fontId="16" fillId="0" borderId="34" xfId="0" applyFont="1" applyBorder="1" applyAlignment="1">
      <alignment horizontal="left" vertical="center" wrapText="1"/>
    </xf>
    <xf numFmtId="0" fontId="21" fillId="15" borderId="35" xfId="0" applyFont="1" applyFill="1" applyBorder="1" applyAlignment="1">
      <alignment horizontal="left" vertical="center"/>
    </xf>
    <xf numFmtId="0" fontId="21" fillId="15" borderId="36" xfId="0" applyFont="1" applyFill="1" applyBorder="1" applyAlignment="1">
      <alignment horizontal="center" vertical="center"/>
    </xf>
    <xf numFmtId="0" fontId="21" fillId="15" borderId="36" xfId="0" applyFont="1" applyFill="1" applyBorder="1" applyAlignment="1">
      <alignment horizontal="left" vertical="center" wrapText="1"/>
    </xf>
    <xf numFmtId="0" fontId="20" fillId="6" borderId="38" xfId="0" applyFont="1" applyFill="1" applyBorder="1" applyAlignment="1">
      <alignment horizontal="left" vertical="center" wrapText="1"/>
    </xf>
    <xf numFmtId="0" fontId="16" fillId="0" borderId="38" xfId="0" applyFont="1" applyBorder="1" applyAlignment="1">
      <alignment horizontal="left" vertical="center" wrapText="1"/>
    </xf>
    <xf numFmtId="0" fontId="16" fillId="16" borderId="38" xfId="0" applyFont="1" applyFill="1" applyBorder="1" applyAlignment="1">
      <alignment horizontal="left" vertical="center" wrapText="1"/>
    </xf>
    <xf numFmtId="0" fontId="16" fillId="0" borderId="40" xfId="0" applyFont="1" applyBorder="1" applyAlignment="1">
      <alignment horizontal="left" vertical="center" wrapText="1"/>
    </xf>
    <xf numFmtId="0" fontId="13" fillId="2" borderId="20" xfId="0" applyFont="1" applyFill="1" applyBorder="1"/>
    <xf numFmtId="0" fontId="13" fillId="2" borderId="18" xfId="0" applyFont="1" applyFill="1" applyBorder="1" applyAlignment="1">
      <alignment horizontal="center" vertical="center"/>
    </xf>
    <xf numFmtId="0" fontId="13" fillId="2" borderId="18" xfId="0" applyFont="1" applyFill="1" applyBorder="1"/>
    <xf numFmtId="0" fontId="13" fillId="2" borderId="21" xfId="0" applyFont="1" applyFill="1" applyBorder="1"/>
    <xf numFmtId="165" fontId="0" fillId="0" borderId="0" xfId="0" applyNumberFormat="1" applyAlignment="1">
      <alignment horizontal="center" vertical="center"/>
    </xf>
    <xf numFmtId="0" fontId="16" fillId="0" borderId="32" xfId="0" applyFont="1" applyBorder="1" applyAlignment="1">
      <alignment horizontal="left" vertical="center" wrapText="1"/>
    </xf>
    <xf numFmtId="0" fontId="0" fillId="0" borderId="32" xfId="0" applyBorder="1" applyAlignment="1"/>
    <xf numFmtId="0" fontId="0" fillId="0" borderId="39" xfId="0" applyBorder="1" applyAlignment="1"/>
    <xf numFmtId="0" fontId="13" fillId="6" borderId="32" xfId="0" applyFont="1" applyFill="1" applyBorder="1" applyAlignment="1">
      <alignment horizontal="left" vertical="center" wrapText="1"/>
    </xf>
    <xf numFmtId="0" fontId="16" fillId="0" borderId="34" xfId="0" applyFont="1" applyBorder="1" applyAlignment="1">
      <alignment horizontal="left" vertical="center" wrapText="1"/>
    </xf>
    <xf numFmtId="0" fontId="0" fillId="0" borderId="34" xfId="0" applyBorder="1" applyAlignment="1"/>
    <xf numFmtId="0" fontId="0" fillId="0" borderId="41" xfId="0" applyBorder="1" applyAlignment="1"/>
    <xf numFmtId="0" fontId="16" fillId="8" borderId="14" xfId="0" applyFont="1" applyFill="1" applyBorder="1" applyAlignment="1">
      <alignment horizontal="left" vertical="center" wrapText="1"/>
    </xf>
    <xf numFmtId="0" fontId="43" fillId="8" borderId="15" xfId="0" applyFont="1" applyFill="1" applyBorder="1" applyAlignment="1">
      <alignment horizontal="left" vertical="center" wrapText="1"/>
    </xf>
    <xf numFmtId="0" fontId="43" fillId="8" borderId="16" xfId="0" applyFont="1" applyFill="1" applyBorder="1" applyAlignment="1">
      <alignment horizontal="left" vertical="center" wrapText="1"/>
    </xf>
    <xf numFmtId="0" fontId="21" fillId="15" borderId="36" xfId="0" applyFont="1" applyFill="1" applyBorder="1" applyAlignment="1">
      <alignment horizontal="left" vertical="center" wrapText="1"/>
    </xf>
    <xf numFmtId="0" fontId="0" fillId="0" borderId="36" xfId="0" applyBorder="1" applyAlignment="1"/>
    <xf numFmtId="0" fontId="0" fillId="0" borderId="37" xfId="0" applyBorder="1" applyAlignment="1"/>
    <xf numFmtId="0" fontId="13" fillId="6" borderId="32" xfId="0" applyFont="1" applyFill="1" applyBorder="1" applyAlignment="1">
      <alignment horizontal="center" vertical="center" wrapText="1"/>
    </xf>
    <xf numFmtId="0" fontId="16" fillId="16" borderId="32" xfId="0" applyFont="1" applyFill="1" applyBorder="1" applyAlignment="1">
      <alignment horizontal="left" vertical="center" wrapText="1"/>
    </xf>
    <xf numFmtId="0" fontId="16" fillId="10" borderId="22" xfId="0" applyFont="1" applyFill="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23" fillId="13" borderId="3" xfId="0" applyFont="1" applyFill="1" applyBorder="1" applyAlignment="1">
      <alignment vertical="center"/>
    </xf>
    <xf numFmtId="0" fontId="16" fillId="13" borderId="4" xfId="0" applyFont="1" applyFill="1" applyBorder="1" applyAlignment="1">
      <alignment vertical="center"/>
    </xf>
    <xf numFmtId="0" fontId="16" fillId="13" borderId="5" xfId="0" applyFont="1" applyFill="1" applyBorder="1" applyAlignment="1">
      <alignment vertical="center"/>
    </xf>
    <xf numFmtId="0" fontId="18" fillId="13" borderId="0" xfId="0" applyFont="1" applyFill="1" applyAlignment="1">
      <alignment horizontal="left" vertical="center" wrapText="1"/>
    </xf>
    <xf numFmtId="0" fontId="18" fillId="0" borderId="0" xfId="0" applyFont="1" applyAlignment="1">
      <alignment horizontal="left" vertical="center" wrapText="1"/>
    </xf>
    <xf numFmtId="0" fontId="23" fillId="13" borderId="0" xfId="0" applyFont="1" applyFill="1" applyAlignment="1">
      <alignment horizontal="center" vertical="center"/>
    </xf>
    <xf numFmtId="0" fontId="16" fillId="13" borderId="0" xfId="0" applyFont="1" applyFill="1" applyAlignment="1">
      <alignment horizontal="center" vertical="center"/>
    </xf>
    <xf numFmtId="0" fontId="16" fillId="13" borderId="0" xfId="0" applyFont="1" applyFill="1" applyAlignment="1">
      <alignment vertical="center"/>
    </xf>
    <xf numFmtId="0" fontId="16" fillId="11" borderId="17" xfId="0" applyFont="1" applyFill="1" applyBorder="1" applyAlignment="1">
      <alignment horizontal="right" vertical="center"/>
    </xf>
    <xf numFmtId="0" fontId="16" fillId="11" borderId="0" xfId="0" applyFont="1" applyFill="1" applyAlignment="1">
      <alignment vertical="center"/>
    </xf>
    <xf numFmtId="0" fontId="16" fillId="11" borderId="20" xfId="0" applyFont="1" applyFill="1" applyBorder="1" applyAlignment="1">
      <alignment horizontal="right" vertical="center"/>
    </xf>
    <xf numFmtId="0" fontId="16" fillId="11" borderId="18" xfId="0" applyFont="1" applyFill="1" applyBorder="1" applyAlignment="1">
      <alignment vertical="center"/>
    </xf>
    <xf numFmtId="0" fontId="25" fillId="8" borderId="14" xfId="3" applyFont="1" applyFill="1" applyBorder="1" applyAlignment="1" applyProtection="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2" fillId="12" borderId="9" xfId="1" applyFont="1" applyFill="1" applyBorder="1" applyAlignment="1">
      <alignment horizontal="left" vertical="center" wrapText="1"/>
    </xf>
    <xf numFmtId="0" fontId="28" fillId="12" borderId="2" xfId="0" applyFont="1" applyFill="1" applyBorder="1" applyAlignment="1">
      <alignment horizontal="left" vertical="center" wrapText="1"/>
    </xf>
    <xf numFmtId="0" fontId="28" fillId="12" borderId="10" xfId="0" applyFont="1" applyFill="1" applyBorder="1" applyAlignment="1">
      <alignment horizontal="left" vertical="center" wrapText="1"/>
    </xf>
    <xf numFmtId="0" fontId="23" fillId="7" borderId="7" xfId="4" applyFont="1" applyFill="1" applyBorder="1" applyAlignment="1" applyProtection="1">
      <alignment horizontal="center" vertical="center"/>
    </xf>
    <xf numFmtId="0" fontId="0" fillId="0" borderId="8" xfId="0" applyBorder="1" applyAlignment="1" applyProtection="1"/>
    <xf numFmtId="0" fontId="0" fillId="0" borderId="7" xfId="0" applyBorder="1" applyAlignment="1" applyProtection="1"/>
    <xf numFmtId="0" fontId="36" fillId="8" borderId="14" xfId="3" applyFont="1" applyFill="1" applyBorder="1" applyAlignment="1" applyProtection="1">
      <alignment vertical="center" wrapText="1"/>
    </xf>
    <xf numFmtId="0" fontId="14" fillId="0" borderId="15" xfId="0" applyFont="1" applyBorder="1" applyAlignment="1"/>
    <xf numFmtId="0" fontId="14" fillId="0" borderId="16" xfId="0" applyFont="1" applyBorder="1" applyAlignment="1"/>
    <xf numFmtId="0" fontId="44" fillId="9" borderId="6" xfId="4" applyFont="1" applyFill="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44" fillId="9" borderId="14" xfId="4" applyFont="1" applyFill="1" applyBorder="1" applyAlignment="1">
      <alignment vertical="center"/>
    </xf>
    <xf numFmtId="0" fontId="0" fillId="0" borderId="15" xfId="0" applyBorder="1" applyAlignment="1">
      <alignment vertical="center"/>
    </xf>
    <xf numFmtId="0" fontId="16" fillId="10" borderId="2" xfId="4" applyFont="1" applyFill="1" applyBorder="1" applyAlignment="1" applyProtection="1">
      <alignment horizontal="left"/>
      <protection locked="0"/>
    </xf>
    <xf numFmtId="0" fontId="0" fillId="10" borderId="2" xfId="0" applyFill="1" applyBorder="1" applyAlignment="1" applyProtection="1">
      <alignment horizontal="left"/>
      <protection locked="0"/>
    </xf>
    <xf numFmtId="0" fontId="16" fillId="10" borderId="12" xfId="4" applyFont="1"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3" xfId="0" applyFill="1" applyBorder="1" applyAlignment="1" applyProtection="1">
      <alignment horizontal="left"/>
      <protection locked="0"/>
    </xf>
    <xf numFmtId="0" fontId="0" fillId="10" borderId="10" xfId="0" applyFill="1" applyBorder="1" applyAlignment="1" applyProtection="1">
      <alignment horizontal="left"/>
      <protection locked="0"/>
    </xf>
    <xf numFmtId="0" fontId="16" fillId="10" borderId="30" xfId="4" applyFont="1" applyFill="1" applyBorder="1" applyAlignment="1" applyProtection="1">
      <alignment horizontal="center" vertical="center"/>
      <protection locked="0"/>
    </xf>
    <xf numFmtId="0" fontId="16" fillId="10" borderId="23" xfId="4" applyFont="1" applyFill="1" applyBorder="1" applyAlignment="1" applyProtection="1">
      <alignment horizontal="center" vertical="center"/>
      <protection locked="0"/>
    </xf>
    <xf numFmtId="49" fontId="24" fillId="10" borderId="2" xfId="1" applyNumberFormat="1" applyFont="1" applyFill="1" applyBorder="1" applyAlignment="1" applyProtection="1">
      <alignment vertical="center"/>
      <protection locked="0"/>
    </xf>
    <xf numFmtId="49" fontId="16" fillId="10" borderId="2" xfId="0" applyNumberFormat="1" applyFont="1" applyFill="1" applyBorder="1" applyAlignment="1" applyProtection="1">
      <alignment vertical="center"/>
      <protection locked="0"/>
    </xf>
    <xf numFmtId="0" fontId="24" fillId="10" borderId="2" xfId="1" applyFont="1" applyFill="1" applyBorder="1" applyAlignment="1" applyProtection="1">
      <alignment vertical="center"/>
      <protection locked="0"/>
    </xf>
    <xf numFmtId="0" fontId="16" fillId="10" borderId="2" xfId="0" applyFont="1" applyFill="1" applyBorder="1" applyAlignment="1" applyProtection="1">
      <alignment vertical="center"/>
      <protection locked="0"/>
    </xf>
    <xf numFmtId="0" fontId="27" fillId="9" borderId="2" xfId="1" applyFont="1" applyFill="1" applyBorder="1" applyAlignment="1">
      <alignment horizontal="center" vertical="center"/>
    </xf>
    <xf numFmtId="0" fontId="16" fillId="0" borderId="2" xfId="0" applyFont="1" applyBorder="1" applyAlignment="1">
      <alignment horizontal="center" vertical="center"/>
    </xf>
    <xf numFmtId="49" fontId="30" fillId="10" borderId="2" xfId="0" applyNumberFormat="1" applyFont="1" applyFill="1" applyBorder="1" applyAlignment="1" applyProtection="1">
      <alignment vertical="center"/>
      <protection locked="0"/>
    </xf>
    <xf numFmtId="0" fontId="25" fillId="8" borderId="14" xfId="3" applyFont="1" applyFill="1" applyBorder="1" applyAlignment="1" applyProtection="1">
      <alignment vertical="center" wrapText="1"/>
    </xf>
    <xf numFmtId="0" fontId="16" fillId="8" borderId="15" xfId="0" applyFont="1" applyFill="1" applyBorder="1" applyAlignment="1">
      <alignment vertical="center" wrapText="1"/>
    </xf>
    <xf numFmtId="0" fontId="16" fillId="0" borderId="15" xfId="0" applyFont="1" applyBorder="1" applyAlignment="1"/>
    <xf numFmtId="0" fontId="16" fillId="0" borderId="16" xfId="0" applyFont="1" applyBorder="1" applyAlignment="1"/>
    <xf numFmtId="0" fontId="27" fillId="9" borderId="24" xfId="1" applyFont="1" applyFill="1" applyBorder="1" applyAlignment="1">
      <alignment horizontal="center" vertical="center"/>
    </xf>
    <xf numFmtId="0" fontId="16" fillId="0" borderId="0" xfId="0" applyFont="1" applyAlignment="1">
      <alignment vertical="center"/>
    </xf>
    <xf numFmtId="0" fontId="24" fillId="10" borderId="2" xfId="1" applyFont="1" applyFill="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2" xfId="0" applyFont="1" applyBorder="1" applyAlignment="1" applyProtection="1">
      <alignment vertical="center"/>
      <protection locked="0"/>
    </xf>
    <xf numFmtId="0" fontId="24" fillId="8" borderId="2" xfId="1" applyFont="1" applyFill="1" applyBorder="1" applyAlignment="1" applyProtection="1">
      <alignment vertical="center"/>
    </xf>
    <xf numFmtId="0" fontId="16" fillId="8" borderId="2" xfId="0" applyFont="1" applyFill="1" applyBorder="1" applyAlignment="1" applyProtection="1">
      <alignment vertical="center"/>
    </xf>
    <xf numFmtId="0" fontId="16" fillId="0" borderId="2" xfId="0" applyFont="1" applyBorder="1" applyAlignment="1">
      <alignment vertical="center"/>
    </xf>
    <xf numFmtId="0" fontId="0" fillId="14" borderId="0" xfId="0" applyFill="1" applyAlignment="1">
      <alignment horizontal="center"/>
    </xf>
    <xf numFmtId="0" fontId="0" fillId="8" borderId="30" xfId="0" applyFill="1" applyBorder="1" applyAlignment="1">
      <alignment horizontal="left" vertical="top" wrapText="1"/>
    </xf>
    <xf numFmtId="0" fontId="0" fillId="8" borderId="31" xfId="0" applyFill="1" applyBorder="1" applyAlignment="1">
      <alignment horizontal="left" vertical="top" wrapText="1"/>
    </xf>
    <xf numFmtId="0" fontId="0" fillId="8" borderId="23" xfId="0" applyFill="1" applyBorder="1" applyAlignment="1">
      <alignment horizontal="left" vertical="top" wrapText="1"/>
    </xf>
  </cellXfs>
  <cellStyles count="47">
    <cellStyle name="60% - Accent1 2" xfId="6" xr:uid="{00000000-0005-0000-0000-000000000000}"/>
    <cellStyle name="Accent1 2" xfId="8" xr:uid="{00000000-0005-0000-0000-000001000000}"/>
    <cellStyle name="Comma 2" xfId="2" xr:uid="{00000000-0005-0000-0000-000002000000}"/>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Hyperlink" xfId="3" builtinId="8"/>
    <cellStyle name="Hyperlink 2" xfId="5" xr:uid="{00000000-0005-0000-0000-000029000000}"/>
    <cellStyle name="Hyperlink 3" xfId="7" xr:uid="{00000000-0005-0000-0000-00002A000000}"/>
    <cellStyle name="Normal" xfId="0" builtinId="0"/>
    <cellStyle name="Normal 2" xfId="1" xr:uid="{00000000-0005-0000-0000-00002C000000}"/>
    <cellStyle name="Normal 3" xfId="4" xr:uid="{00000000-0005-0000-0000-00002D000000}"/>
    <cellStyle name="Normal 3 2" xfId="30" xr:uid="{00000000-0005-0000-0000-00002E000000}"/>
  </cellStyles>
  <dxfs count="187">
    <dxf>
      <alignment horizontal="general" vertical="bottom" textRotation="0" wrapText="1" indent="0" justifyLastLine="0" shrinkToFit="0" readingOrder="0"/>
    </dxf>
    <dxf>
      <numFmt numFmtId="165" formatCode="d\-mmm\-yy"/>
      <alignment horizontal="center"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9C0006"/>
      </font>
      <fill>
        <patternFill>
          <bgColor theme="5" tint="0.59996337778862885"/>
        </patternFill>
      </fill>
    </dxf>
    <dxf>
      <font>
        <b val="0"/>
        <i val="0"/>
        <color theme="1"/>
      </font>
      <fill>
        <patternFill>
          <bgColor rgb="FFFFFFE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val="0"/>
        <i val="0"/>
        <color theme="1"/>
      </font>
      <fill>
        <patternFill>
          <bgColor rgb="FFFFFFE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color theme="1"/>
      </font>
      <fill>
        <patternFill>
          <bgColor theme="0" tint="-0.14996795556505021"/>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9C0006"/>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i val="0"/>
        <color rgb="FFC00000"/>
      </font>
      <fill>
        <patternFill>
          <bgColor theme="5" tint="0.59996337778862885"/>
        </patternFill>
      </fill>
    </dxf>
    <dxf>
      <font>
        <b val="0"/>
        <i val="0"/>
        <color theme="1"/>
      </font>
      <fill>
        <patternFill>
          <bgColor theme="0" tint="-0.14996795556505021"/>
        </patternFill>
      </fill>
    </dxf>
    <dxf>
      <font>
        <b/>
        <i val="0"/>
        <color rgb="FF9C0006"/>
      </font>
      <fill>
        <patternFill>
          <bgColor theme="5" tint="0.59996337778862885"/>
        </patternFill>
      </fill>
    </dxf>
    <dxf>
      <font>
        <b/>
        <i val="0"/>
        <color rgb="FF9C0006"/>
      </font>
      <fill>
        <patternFill>
          <bgColor theme="5" tint="0.59996337778862885"/>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C0006"/>
      <color rgb="FFFFFFE5"/>
      <color rgb="FFFFFFCC"/>
      <color rgb="FF0000D4"/>
      <color rgb="FF004AFF"/>
      <color rgb="FF043DFF"/>
      <color rgb="FFFF6600"/>
      <color rgb="FFFFCCFF"/>
      <color rgb="FF00FFCC"/>
      <color rgb="FFFEB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9768</xdr:colOff>
      <xdr:row>0</xdr:row>
      <xdr:rowOff>0</xdr:rowOff>
    </xdr:from>
    <xdr:to>
      <xdr:col>7</xdr:col>
      <xdr:colOff>78153</xdr:colOff>
      <xdr:row>0</xdr:row>
      <xdr:rowOff>600075</xdr:rowOff>
    </xdr:to>
    <xdr:pic>
      <xdr:nvPicPr>
        <xdr:cNvPr id="2" name="Picture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91" y="0"/>
          <a:ext cx="1586523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394940</xdr:colOff>
      <xdr:row>0</xdr:row>
      <xdr:rowOff>133096</xdr:rowOff>
    </xdr:from>
    <xdr:to>
      <xdr:col>4</xdr:col>
      <xdr:colOff>1808756</xdr:colOff>
      <xdr:row>0</xdr:row>
      <xdr:rowOff>449857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1268094" y="133096"/>
          <a:ext cx="1413816" cy="316761"/>
        </a:xfrm>
        <a:prstGeom prst="rect">
          <a:avLst/>
        </a:prstGeom>
      </xdr:spPr>
    </xdr:pic>
    <xdr:clientData/>
  </xdr:twoCellAnchor>
  <xdr:oneCellAnchor>
    <xdr:from>
      <xdr:col>1</xdr:col>
      <xdr:colOff>57150</xdr:colOff>
      <xdr:row>0</xdr:row>
      <xdr:rowOff>94662</xdr:rowOff>
    </xdr:from>
    <xdr:ext cx="7240465" cy="451406"/>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50" y="94662"/>
          <a:ext cx="7240465"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800">
              <a:solidFill>
                <a:srgbClr val="FFFFFF"/>
              </a:solidFill>
              <a:latin typeface="Metropolis" pitchFamily="2" charset="77"/>
            </a:rPr>
            <a:t>Cloud Foundation Prerequisite Checklist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2657230</xdr:colOff>
      <xdr:row>0</xdr:row>
      <xdr:rowOff>604408</xdr:rowOff>
    </xdr:to>
    <xdr:pic>
      <xdr:nvPicPr>
        <xdr:cNvPr id="2" name="Picture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894538" cy="604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0</xdr:row>
      <xdr:rowOff>84667</xdr:rowOff>
    </xdr:from>
    <xdr:ext cx="4411464" cy="451406"/>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84667"/>
          <a:ext cx="4411464"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solidFill>
                <a:srgbClr val="FFFFFF"/>
              </a:solidFill>
              <a:latin typeface="Metropolis" pitchFamily="2" charset="77"/>
            </a:rPr>
            <a:t>Management Workloads</a:t>
          </a:r>
        </a:p>
      </xdr:txBody>
    </xdr:sp>
    <xdr:clientData/>
  </xdr:oneCellAnchor>
  <xdr:twoCellAnchor editAs="oneCell">
    <xdr:from>
      <xdr:col>10</xdr:col>
      <xdr:colOff>649112</xdr:colOff>
      <xdr:row>0</xdr:row>
      <xdr:rowOff>161012</xdr:rowOff>
    </xdr:from>
    <xdr:to>
      <xdr:col>10</xdr:col>
      <xdr:colOff>2067271</xdr:colOff>
      <xdr:row>0</xdr:row>
      <xdr:rowOff>477773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1590650" y="161012"/>
          <a:ext cx="1418159" cy="3167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5</xdr:col>
      <xdr:colOff>0</xdr:colOff>
      <xdr:row>1</xdr:row>
      <xdr:rowOff>1622</xdr:rowOff>
    </xdr:to>
    <xdr:pic>
      <xdr:nvPicPr>
        <xdr:cNvPr id="2" name="Picture 4">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3207999" cy="603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57620</xdr:colOff>
      <xdr:row>0</xdr:row>
      <xdr:rowOff>94427</xdr:rowOff>
    </xdr:from>
    <xdr:ext cx="3269293" cy="451406"/>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7620" y="94427"/>
          <a:ext cx="3269293"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solidFill>
                <a:srgbClr val="FFFFFF"/>
              </a:solidFill>
              <a:latin typeface="Metropolis" pitchFamily="2" charset="77"/>
            </a:rPr>
            <a:t>Users and Groups</a:t>
          </a:r>
        </a:p>
      </xdr:txBody>
    </xdr:sp>
    <xdr:clientData/>
  </xdr:oneCellAnchor>
  <xdr:twoCellAnchor editAs="oneCell">
    <xdr:from>
      <xdr:col>4</xdr:col>
      <xdr:colOff>536223</xdr:colOff>
      <xdr:row>0</xdr:row>
      <xdr:rowOff>141935</xdr:rowOff>
    </xdr:from>
    <xdr:to>
      <xdr:col>4</xdr:col>
      <xdr:colOff>2022594</xdr:colOff>
      <xdr:row>0</xdr:row>
      <xdr:rowOff>458696</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9520297" y="141935"/>
          <a:ext cx="1486371" cy="3167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5423</xdr:rowOff>
    </xdr:from>
    <xdr:to>
      <xdr:col>11</xdr:col>
      <xdr:colOff>0</xdr:colOff>
      <xdr:row>1</xdr:row>
      <xdr:rowOff>1214</xdr:rowOff>
    </xdr:to>
    <xdr:pic>
      <xdr:nvPicPr>
        <xdr:cNvPr id="2" name="Picture 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3"/>
          <a:ext cx="15208250" cy="6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126023</xdr:colOff>
      <xdr:row>0</xdr:row>
      <xdr:rowOff>67408</xdr:rowOff>
    </xdr:from>
    <xdr:ext cx="3674660" cy="451406"/>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6023" y="67408"/>
          <a:ext cx="367466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solidFill>
                <a:srgbClr val="FFFFFF"/>
              </a:solidFill>
              <a:latin typeface="Metropolis" pitchFamily="2" charset="77"/>
            </a:rPr>
            <a:t>Hosts and Networks</a:t>
          </a:r>
        </a:p>
      </xdr:txBody>
    </xdr:sp>
    <xdr:clientData/>
  </xdr:oneCellAnchor>
  <xdr:twoCellAnchor editAs="oneCell">
    <xdr:from>
      <xdr:col>8</xdr:col>
      <xdr:colOff>2030562</xdr:colOff>
      <xdr:row>0</xdr:row>
      <xdr:rowOff>149226</xdr:rowOff>
    </xdr:from>
    <xdr:to>
      <xdr:col>9</xdr:col>
      <xdr:colOff>1544788</xdr:colOff>
      <xdr:row>0</xdr:row>
      <xdr:rowOff>465987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10920562" y="149226"/>
          <a:ext cx="1620309" cy="316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11</xdr:col>
      <xdr:colOff>976</xdr:colOff>
      <xdr:row>1</xdr:row>
      <xdr:rowOff>19040</xdr:rowOff>
    </xdr:to>
    <xdr:pic>
      <xdr:nvPicPr>
        <xdr:cNvPr id="3" name="Picture 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5806614" cy="615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57620</xdr:colOff>
      <xdr:row>0</xdr:row>
      <xdr:rowOff>103834</xdr:rowOff>
    </xdr:from>
    <xdr:ext cx="4386265" cy="451406"/>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7620" y="103834"/>
          <a:ext cx="4386265"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solidFill>
                <a:srgbClr val="FFFFFF"/>
              </a:solidFill>
              <a:latin typeface="Metropolis" pitchFamily="2" charset="77"/>
            </a:rPr>
            <a:t>Deployment</a:t>
          </a:r>
          <a:r>
            <a:rPr lang="en-US" sz="2800" baseline="0">
              <a:solidFill>
                <a:srgbClr val="FFFFFF"/>
              </a:solidFill>
              <a:latin typeface="Metropolis" pitchFamily="2" charset="77"/>
            </a:rPr>
            <a:t> Parameters</a:t>
          </a:r>
          <a:endParaRPr lang="en-US" sz="2800">
            <a:solidFill>
              <a:srgbClr val="FFFFFF"/>
            </a:solidFill>
            <a:latin typeface="Metropolis" pitchFamily="2" charset="77"/>
          </a:endParaRPr>
        </a:p>
      </xdr:txBody>
    </xdr:sp>
    <xdr:clientData/>
  </xdr:oneCellAnchor>
  <xdr:twoCellAnchor editAs="oneCell">
    <xdr:from>
      <xdr:col>8</xdr:col>
      <xdr:colOff>1288995</xdr:colOff>
      <xdr:row>0</xdr:row>
      <xdr:rowOff>149320</xdr:rowOff>
    </xdr:from>
    <xdr:to>
      <xdr:col>8</xdr:col>
      <xdr:colOff>2818964</xdr:colOff>
      <xdr:row>0</xdr:row>
      <xdr:rowOff>469360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1361072" y="149320"/>
          <a:ext cx="1529969" cy="3200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5</xdr:col>
      <xdr:colOff>10584</xdr:colOff>
      <xdr:row>1</xdr:row>
      <xdr:rowOff>0</xdr:rowOff>
    </xdr:to>
    <xdr:pic>
      <xdr:nvPicPr>
        <xdr:cNvPr id="2" name="Picture 4">
          <a:extLst>
            <a:ext uri="{FF2B5EF4-FFF2-40B4-BE49-F238E27FC236}">
              <a16:creationId xmlns:a16="http://schemas.microsoft.com/office/drawing/2014/main" id="{3A0761FD-638C-F243-BC6E-60BA041196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9525"/>
          <a:ext cx="10985500" cy="604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57620</xdr:colOff>
      <xdr:row>0</xdr:row>
      <xdr:rowOff>103834</xdr:rowOff>
    </xdr:from>
    <xdr:ext cx="5379486" cy="451406"/>
    <xdr:sp macro="" textlink="">
      <xdr:nvSpPr>
        <xdr:cNvPr id="3" name="TextBox 2">
          <a:extLst>
            <a:ext uri="{FF2B5EF4-FFF2-40B4-BE49-F238E27FC236}">
              <a16:creationId xmlns:a16="http://schemas.microsoft.com/office/drawing/2014/main" id="{E542B08B-3A2B-3B48-9638-19E538B6C5D5}"/>
            </a:ext>
          </a:extLst>
        </xdr:cNvPr>
        <xdr:cNvSpPr txBox="1"/>
      </xdr:nvSpPr>
      <xdr:spPr>
        <a:xfrm>
          <a:off x="57620" y="103834"/>
          <a:ext cx="5379486"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800">
              <a:solidFill>
                <a:srgbClr val="FFFFFF"/>
              </a:solidFill>
              <a:latin typeface="Metropolis" pitchFamily="2" charset="77"/>
            </a:rPr>
            <a:t>Stretched Cluster Host Routes</a:t>
          </a:r>
        </a:p>
      </xdr:txBody>
    </xdr:sp>
    <xdr:clientData/>
  </xdr:oneCellAnchor>
  <xdr:twoCellAnchor editAs="oneCell">
    <xdr:from>
      <xdr:col>4</xdr:col>
      <xdr:colOff>1111251</xdr:colOff>
      <xdr:row>0</xdr:row>
      <xdr:rowOff>148167</xdr:rowOff>
    </xdr:from>
    <xdr:to>
      <xdr:col>4</xdr:col>
      <xdr:colOff>2641220</xdr:colOff>
      <xdr:row>0</xdr:row>
      <xdr:rowOff>468207</xdr:rowOff>
    </xdr:to>
    <xdr:pic>
      <xdr:nvPicPr>
        <xdr:cNvPr id="5" name="Picture 4">
          <a:extLst>
            <a:ext uri="{FF2B5EF4-FFF2-40B4-BE49-F238E27FC236}">
              <a16:creationId xmlns:a16="http://schemas.microsoft.com/office/drawing/2014/main" id="{8863FCFF-C92B-764D-843C-9832226B925C}"/>
            </a:ext>
          </a:extLst>
        </xdr:cNvPr>
        <xdr:cNvPicPr>
          <a:picLocks noChangeAspect="1"/>
        </xdr:cNvPicPr>
      </xdr:nvPicPr>
      <xdr:blipFill>
        <a:blip xmlns:r="http://schemas.openxmlformats.org/officeDocument/2006/relationships" r:embed="rId2"/>
        <a:stretch>
          <a:fillRect/>
        </a:stretch>
      </xdr:blipFill>
      <xdr:spPr>
        <a:xfrm>
          <a:off x="8128001" y="148167"/>
          <a:ext cx="1529969" cy="3200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152FF8-F903-1841-ABB8-5CAC96B00DED}" name="Table1" displayName="Table1" ref="B6:D9" headerRowCount="0" totalsRowShown="0" headerRowDxfId="38">
  <tableColumns count="3">
    <tableColumn id="1" xr3:uid="{40104181-55AD-EE49-BAFB-AA313D6B6916}" name="Column1" headerRowDxfId="37"/>
    <tableColumn id="2" xr3:uid="{6B7D4A41-D818-EF43-AED5-F5E547295F7D}" name="Column2" headerRowDxfId="36"/>
    <tableColumn id="3" xr3:uid="{46316F9C-DD61-F04E-9119-2365058D74A9}" name="Column3" headerRowDxfId="3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904DD76-1B8E-E547-BBDD-C731B811A290}" name="Table2" displayName="Table2" ref="B12:E14" headerRowCount="0" totalsRowShown="0" headerRowDxfId="34">
  <tableColumns count="4">
    <tableColumn id="1" xr3:uid="{C79D3472-7EBB-7B4D-A2C6-436E0789614D}" name="Column1" headerRowDxfId="33"/>
    <tableColumn id="2" xr3:uid="{01858E2D-70DD-FA44-9227-3D208243B589}" name="Column2" headerRowDxfId="32"/>
    <tableColumn id="3" xr3:uid="{0D87D662-1E8C-A443-AD28-11C315D69BD4}" name="Column3" headerRowDxfId="31"/>
    <tableColumn id="4" xr3:uid="{82D73615-1491-F24D-81D0-17B26056FEBD}" name="Column4" headerRow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4158AB-B9C1-7241-9D8F-B9B12146FA23}" name="Table24" displayName="Table24" ref="B17:E19" headerRowCount="0" totalsRowShown="0" headerRowDxfId="29">
  <tableColumns count="4">
    <tableColumn id="1" xr3:uid="{C9982708-2146-304E-8959-5A7728D35C36}" name="Column1" headerRowDxfId="28"/>
    <tableColumn id="2" xr3:uid="{78FCF21C-CC2C-204B-9F83-3F4B55CF877F}" name="Column2" headerRowDxfId="27"/>
    <tableColumn id="3" xr3:uid="{AF190247-5A50-9340-AE84-E1F087938215}" name="Column3" headerRowDxfId="26"/>
    <tableColumn id="4" xr3:uid="{42C7DFE6-8784-8649-828B-1BA865FE9CD9}" name="Column4" headerRowDxfId="2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FBA1CB-80AF-2045-ADD5-FE5C5F92C3B1}" name="Table245" displayName="Table245" ref="B22:E24" headerRowCount="0" totalsRowShown="0" headerRowDxfId="24">
  <tableColumns count="4">
    <tableColumn id="1" xr3:uid="{21D08799-98FE-3040-8727-AC2E48F760EF}" name="Column1" headerRowDxfId="23"/>
    <tableColumn id="2" xr3:uid="{3AE658D0-8837-5746-BDE4-A5D9649CAC64}" name="Column2" headerRowDxfId="22"/>
    <tableColumn id="3" xr3:uid="{A78235D6-33B8-0945-899F-D0A895BB7195}" name="Column3" headerRowDxfId="21"/>
    <tableColumn id="4" xr3:uid="{1C8A0263-CD53-6C40-B486-E5CEEF00FFD3}" name="Column4" headerRowDxfId="2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B58" totalsRowShown="0">
  <autoFilter ref="A1:B58" xr:uid="{00000000-0009-0000-0100-000003000000}"/>
  <tableColumns count="2">
    <tableColumn id="1" xr3:uid="{00000000-0010-0000-0100-000001000000}" name="Date" dataDxfId="1"/>
    <tableColumn id="2" xr3:uid="{00000000-0010-0000-0100-000002000000}" name="Description"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8" Type="http://schemas.openxmlformats.org/officeDocument/2006/relationships/hyperlink" Target="mailto:nsx-mgmt-multicast-address-range@rangeStartIp=239.1.0.0" TargetMode="External"/><Relationship Id="rId3" Type="http://schemas.openxmlformats.org/officeDocument/2006/relationships/hyperlink" Target="mailto:vm-kernel-adapter-management-name@value=vmk0" TargetMode="External"/><Relationship Id="rId7" Type="http://schemas.openxmlformats.org/officeDocument/2006/relationships/hyperlink" Target="mailto:vds-mtu@mtu" TargetMode="External"/><Relationship Id="rId2" Type="http://schemas.openxmlformats.org/officeDocument/2006/relationships/hyperlink" Target="mailto:physical-nic-dedicated-to-dvs@value=vmnic1" TargetMode="External"/><Relationship Id="rId1" Type="http://schemas.openxmlformats.org/officeDocument/2006/relationships/hyperlink" Target="mailto:management-vsan-datastore-name@value=" TargetMode="External"/><Relationship Id="rId6" Type="http://schemas.openxmlformats.org/officeDocument/2006/relationships/hyperlink" Target="mailto:vds-mtu@mtu" TargetMode="External"/><Relationship Id="rId5" Type="http://schemas.openxmlformats.org/officeDocument/2006/relationships/hyperlink" Target="mailto:sso-site-name@value=" TargetMode="External"/><Relationship Id="rId10" Type="http://schemas.openxmlformats.org/officeDocument/2006/relationships/printerSettings" Target="../printerSettings/printerSettings7.bin"/><Relationship Id="rId4" Type="http://schemas.openxmlformats.org/officeDocument/2006/relationships/hyperlink" Target="mailto:vds-management-initial-configuration@dvSwitchName%22" TargetMode="External"/><Relationship Id="rId9" Type="http://schemas.openxmlformats.org/officeDocument/2006/relationships/hyperlink" Target="mailto:nsx-mgmt-multicast-address-range@rangeEndIp=239.1.255.25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599"/>
  <sheetViews>
    <sheetView tabSelected="1" zoomScale="130" zoomScaleNormal="130" zoomScalePageLayoutView="118" workbookViewId="0">
      <pane ySplit="4" topLeftCell="A5" activePane="bottomLeft" state="frozen"/>
      <selection pane="bottomLeft" activeCell="G4" sqref="G4"/>
    </sheetView>
  </sheetViews>
  <sheetFormatPr baseColWidth="10" defaultColWidth="11.33203125" defaultRowHeight="14"/>
  <cols>
    <col min="1" max="1" width="1.1640625" style="23" customWidth="1"/>
    <col min="2" max="2" width="79.83203125" style="23" customWidth="1"/>
    <col min="3" max="3" width="13" style="22" customWidth="1"/>
    <col min="4" max="4" width="47.83203125" style="23" customWidth="1"/>
    <col min="5" max="5" width="58.83203125" style="23" customWidth="1"/>
    <col min="6" max="6" width="1" style="23" customWidth="1"/>
    <col min="7" max="7" width="6.83203125" style="23" customWidth="1"/>
    <col min="8" max="8" width="20.6640625" style="24" customWidth="1"/>
    <col min="9" max="16" width="11.33203125" style="24"/>
    <col min="17" max="257" width="11.33203125" style="23"/>
    <col min="258" max="258" width="83.6640625" style="23" customWidth="1"/>
    <col min="259" max="259" width="10.6640625" style="23" customWidth="1"/>
    <col min="260" max="260" width="50.6640625" style="23" customWidth="1"/>
    <col min="261" max="261" width="30.6640625" style="23" customWidth="1"/>
    <col min="262" max="263" width="10.6640625" style="23" customWidth="1"/>
    <col min="264" max="264" width="20.6640625" style="23" customWidth="1"/>
    <col min="265" max="513" width="11.33203125" style="23"/>
    <col min="514" max="514" width="83.6640625" style="23" customWidth="1"/>
    <col min="515" max="515" width="10.6640625" style="23" customWidth="1"/>
    <col min="516" max="516" width="50.6640625" style="23" customWidth="1"/>
    <col min="517" max="517" width="30.6640625" style="23" customWidth="1"/>
    <col min="518" max="519" width="10.6640625" style="23" customWidth="1"/>
    <col min="520" max="520" width="20.6640625" style="23" customWidth="1"/>
    <col min="521" max="769" width="11.33203125" style="23"/>
    <col min="770" max="770" width="83.6640625" style="23" customWidth="1"/>
    <col min="771" max="771" width="10.6640625" style="23" customWidth="1"/>
    <col min="772" max="772" width="50.6640625" style="23" customWidth="1"/>
    <col min="773" max="773" width="30.6640625" style="23" customWidth="1"/>
    <col min="774" max="775" width="10.6640625" style="23" customWidth="1"/>
    <col min="776" max="776" width="20.6640625" style="23" customWidth="1"/>
    <col min="777" max="1025" width="11.33203125" style="23"/>
    <col min="1026" max="1026" width="83.6640625" style="23" customWidth="1"/>
    <col min="1027" max="1027" width="10.6640625" style="23" customWidth="1"/>
    <col min="1028" max="1028" width="50.6640625" style="23" customWidth="1"/>
    <col min="1029" max="1029" width="30.6640625" style="23" customWidth="1"/>
    <col min="1030" max="1031" width="10.6640625" style="23" customWidth="1"/>
    <col min="1032" max="1032" width="20.6640625" style="23" customWidth="1"/>
    <col min="1033" max="1281" width="11.33203125" style="23"/>
    <col min="1282" max="1282" width="83.6640625" style="23" customWidth="1"/>
    <col min="1283" max="1283" width="10.6640625" style="23" customWidth="1"/>
    <col min="1284" max="1284" width="50.6640625" style="23" customWidth="1"/>
    <col min="1285" max="1285" width="30.6640625" style="23" customWidth="1"/>
    <col min="1286" max="1287" width="10.6640625" style="23" customWidth="1"/>
    <col min="1288" max="1288" width="20.6640625" style="23" customWidth="1"/>
    <col min="1289" max="1537" width="11.33203125" style="23"/>
    <col min="1538" max="1538" width="83.6640625" style="23" customWidth="1"/>
    <col min="1539" max="1539" width="10.6640625" style="23" customWidth="1"/>
    <col min="1540" max="1540" width="50.6640625" style="23" customWidth="1"/>
    <col min="1541" max="1541" width="30.6640625" style="23" customWidth="1"/>
    <col min="1542" max="1543" width="10.6640625" style="23" customWidth="1"/>
    <col min="1544" max="1544" width="20.6640625" style="23" customWidth="1"/>
    <col min="1545" max="1793" width="11.33203125" style="23"/>
    <col min="1794" max="1794" width="83.6640625" style="23" customWidth="1"/>
    <col min="1795" max="1795" width="10.6640625" style="23" customWidth="1"/>
    <col min="1796" max="1796" width="50.6640625" style="23" customWidth="1"/>
    <col min="1797" max="1797" width="30.6640625" style="23" customWidth="1"/>
    <col min="1798" max="1799" width="10.6640625" style="23" customWidth="1"/>
    <col min="1800" max="1800" width="20.6640625" style="23" customWidth="1"/>
    <col min="1801" max="2049" width="11.33203125" style="23"/>
    <col min="2050" max="2050" width="83.6640625" style="23" customWidth="1"/>
    <col min="2051" max="2051" width="10.6640625" style="23" customWidth="1"/>
    <col min="2052" max="2052" width="50.6640625" style="23" customWidth="1"/>
    <col min="2053" max="2053" width="30.6640625" style="23" customWidth="1"/>
    <col min="2054" max="2055" width="10.6640625" style="23" customWidth="1"/>
    <col min="2056" max="2056" width="20.6640625" style="23" customWidth="1"/>
    <col min="2057" max="2305" width="11.33203125" style="23"/>
    <col min="2306" max="2306" width="83.6640625" style="23" customWidth="1"/>
    <col min="2307" max="2307" width="10.6640625" style="23" customWidth="1"/>
    <col min="2308" max="2308" width="50.6640625" style="23" customWidth="1"/>
    <col min="2309" max="2309" width="30.6640625" style="23" customWidth="1"/>
    <col min="2310" max="2311" width="10.6640625" style="23" customWidth="1"/>
    <col min="2312" max="2312" width="20.6640625" style="23" customWidth="1"/>
    <col min="2313" max="2561" width="11.33203125" style="23"/>
    <col min="2562" max="2562" width="83.6640625" style="23" customWidth="1"/>
    <col min="2563" max="2563" width="10.6640625" style="23" customWidth="1"/>
    <col min="2564" max="2564" width="50.6640625" style="23" customWidth="1"/>
    <col min="2565" max="2565" width="30.6640625" style="23" customWidth="1"/>
    <col min="2566" max="2567" width="10.6640625" style="23" customWidth="1"/>
    <col min="2568" max="2568" width="20.6640625" style="23" customWidth="1"/>
    <col min="2569" max="2817" width="11.33203125" style="23"/>
    <col min="2818" max="2818" width="83.6640625" style="23" customWidth="1"/>
    <col min="2819" max="2819" width="10.6640625" style="23" customWidth="1"/>
    <col min="2820" max="2820" width="50.6640625" style="23" customWidth="1"/>
    <col min="2821" max="2821" width="30.6640625" style="23" customWidth="1"/>
    <col min="2822" max="2823" width="10.6640625" style="23" customWidth="1"/>
    <col min="2824" max="2824" width="20.6640625" style="23" customWidth="1"/>
    <col min="2825" max="3073" width="11.33203125" style="23"/>
    <col min="3074" max="3074" width="83.6640625" style="23" customWidth="1"/>
    <col min="3075" max="3075" width="10.6640625" style="23" customWidth="1"/>
    <col min="3076" max="3076" width="50.6640625" style="23" customWidth="1"/>
    <col min="3077" max="3077" width="30.6640625" style="23" customWidth="1"/>
    <col min="3078" max="3079" width="10.6640625" style="23" customWidth="1"/>
    <col min="3080" max="3080" width="20.6640625" style="23" customWidth="1"/>
    <col min="3081" max="3329" width="11.33203125" style="23"/>
    <col min="3330" max="3330" width="83.6640625" style="23" customWidth="1"/>
    <col min="3331" max="3331" width="10.6640625" style="23" customWidth="1"/>
    <col min="3332" max="3332" width="50.6640625" style="23" customWidth="1"/>
    <col min="3333" max="3333" width="30.6640625" style="23" customWidth="1"/>
    <col min="3334" max="3335" width="10.6640625" style="23" customWidth="1"/>
    <col min="3336" max="3336" width="20.6640625" style="23" customWidth="1"/>
    <col min="3337" max="3585" width="11.33203125" style="23"/>
    <col min="3586" max="3586" width="83.6640625" style="23" customWidth="1"/>
    <col min="3587" max="3587" width="10.6640625" style="23" customWidth="1"/>
    <col min="3588" max="3588" width="50.6640625" style="23" customWidth="1"/>
    <col min="3589" max="3589" width="30.6640625" style="23" customWidth="1"/>
    <col min="3590" max="3591" width="10.6640625" style="23" customWidth="1"/>
    <col min="3592" max="3592" width="20.6640625" style="23" customWidth="1"/>
    <col min="3593" max="3841" width="11.33203125" style="23"/>
    <col min="3842" max="3842" width="83.6640625" style="23" customWidth="1"/>
    <col min="3843" max="3843" width="10.6640625" style="23" customWidth="1"/>
    <col min="3844" max="3844" width="50.6640625" style="23" customWidth="1"/>
    <col min="3845" max="3845" width="30.6640625" style="23" customWidth="1"/>
    <col min="3846" max="3847" width="10.6640625" style="23" customWidth="1"/>
    <col min="3848" max="3848" width="20.6640625" style="23" customWidth="1"/>
    <col min="3849" max="4097" width="11.33203125" style="23"/>
    <col min="4098" max="4098" width="83.6640625" style="23" customWidth="1"/>
    <col min="4099" max="4099" width="10.6640625" style="23" customWidth="1"/>
    <col min="4100" max="4100" width="50.6640625" style="23" customWidth="1"/>
    <col min="4101" max="4101" width="30.6640625" style="23" customWidth="1"/>
    <col min="4102" max="4103" width="10.6640625" style="23" customWidth="1"/>
    <col min="4104" max="4104" width="20.6640625" style="23" customWidth="1"/>
    <col min="4105" max="4353" width="11.33203125" style="23"/>
    <col min="4354" max="4354" width="83.6640625" style="23" customWidth="1"/>
    <col min="4355" max="4355" width="10.6640625" style="23" customWidth="1"/>
    <col min="4356" max="4356" width="50.6640625" style="23" customWidth="1"/>
    <col min="4357" max="4357" width="30.6640625" style="23" customWidth="1"/>
    <col min="4358" max="4359" width="10.6640625" style="23" customWidth="1"/>
    <col min="4360" max="4360" width="20.6640625" style="23" customWidth="1"/>
    <col min="4361" max="4609" width="11.33203125" style="23"/>
    <col min="4610" max="4610" width="83.6640625" style="23" customWidth="1"/>
    <col min="4611" max="4611" width="10.6640625" style="23" customWidth="1"/>
    <col min="4612" max="4612" width="50.6640625" style="23" customWidth="1"/>
    <col min="4613" max="4613" width="30.6640625" style="23" customWidth="1"/>
    <col min="4614" max="4615" width="10.6640625" style="23" customWidth="1"/>
    <col min="4616" max="4616" width="20.6640625" style="23" customWidth="1"/>
    <col min="4617" max="4865" width="11.33203125" style="23"/>
    <col min="4866" max="4866" width="83.6640625" style="23" customWidth="1"/>
    <col min="4867" max="4867" width="10.6640625" style="23" customWidth="1"/>
    <col min="4868" max="4868" width="50.6640625" style="23" customWidth="1"/>
    <col min="4869" max="4869" width="30.6640625" style="23" customWidth="1"/>
    <col min="4870" max="4871" width="10.6640625" style="23" customWidth="1"/>
    <col min="4872" max="4872" width="20.6640625" style="23" customWidth="1"/>
    <col min="4873" max="5121" width="11.33203125" style="23"/>
    <col min="5122" max="5122" width="83.6640625" style="23" customWidth="1"/>
    <col min="5123" max="5123" width="10.6640625" style="23" customWidth="1"/>
    <col min="5124" max="5124" width="50.6640625" style="23" customWidth="1"/>
    <col min="5125" max="5125" width="30.6640625" style="23" customWidth="1"/>
    <col min="5126" max="5127" width="10.6640625" style="23" customWidth="1"/>
    <col min="5128" max="5128" width="20.6640625" style="23" customWidth="1"/>
    <col min="5129" max="5377" width="11.33203125" style="23"/>
    <col min="5378" max="5378" width="83.6640625" style="23" customWidth="1"/>
    <col min="5379" max="5379" width="10.6640625" style="23" customWidth="1"/>
    <col min="5380" max="5380" width="50.6640625" style="23" customWidth="1"/>
    <col min="5381" max="5381" width="30.6640625" style="23" customWidth="1"/>
    <col min="5382" max="5383" width="10.6640625" style="23" customWidth="1"/>
    <col min="5384" max="5384" width="20.6640625" style="23" customWidth="1"/>
    <col min="5385" max="5633" width="11.33203125" style="23"/>
    <col min="5634" max="5634" width="83.6640625" style="23" customWidth="1"/>
    <col min="5635" max="5635" width="10.6640625" style="23" customWidth="1"/>
    <col min="5636" max="5636" width="50.6640625" style="23" customWidth="1"/>
    <col min="5637" max="5637" width="30.6640625" style="23" customWidth="1"/>
    <col min="5638" max="5639" width="10.6640625" style="23" customWidth="1"/>
    <col min="5640" max="5640" width="20.6640625" style="23" customWidth="1"/>
    <col min="5641" max="5889" width="11.33203125" style="23"/>
    <col min="5890" max="5890" width="83.6640625" style="23" customWidth="1"/>
    <col min="5891" max="5891" width="10.6640625" style="23" customWidth="1"/>
    <col min="5892" max="5892" width="50.6640625" style="23" customWidth="1"/>
    <col min="5893" max="5893" width="30.6640625" style="23" customWidth="1"/>
    <col min="5894" max="5895" width="10.6640625" style="23" customWidth="1"/>
    <col min="5896" max="5896" width="20.6640625" style="23" customWidth="1"/>
    <col min="5897" max="6145" width="11.33203125" style="23"/>
    <col min="6146" max="6146" width="83.6640625" style="23" customWidth="1"/>
    <col min="6147" max="6147" width="10.6640625" style="23" customWidth="1"/>
    <col min="6148" max="6148" width="50.6640625" style="23" customWidth="1"/>
    <col min="6149" max="6149" width="30.6640625" style="23" customWidth="1"/>
    <col min="6150" max="6151" width="10.6640625" style="23" customWidth="1"/>
    <col min="6152" max="6152" width="20.6640625" style="23" customWidth="1"/>
    <col min="6153" max="6401" width="11.33203125" style="23"/>
    <col min="6402" max="6402" width="83.6640625" style="23" customWidth="1"/>
    <col min="6403" max="6403" width="10.6640625" style="23" customWidth="1"/>
    <col min="6404" max="6404" width="50.6640625" style="23" customWidth="1"/>
    <col min="6405" max="6405" width="30.6640625" style="23" customWidth="1"/>
    <col min="6406" max="6407" width="10.6640625" style="23" customWidth="1"/>
    <col min="6408" max="6408" width="20.6640625" style="23" customWidth="1"/>
    <col min="6409" max="6657" width="11.33203125" style="23"/>
    <col min="6658" max="6658" width="83.6640625" style="23" customWidth="1"/>
    <col min="6659" max="6659" width="10.6640625" style="23" customWidth="1"/>
    <col min="6660" max="6660" width="50.6640625" style="23" customWidth="1"/>
    <col min="6661" max="6661" width="30.6640625" style="23" customWidth="1"/>
    <col min="6662" max="6663" width="10.6640625" style="23" customWidth="1"/>
    <col min="6664" max="6664" width="20.6640625" style="23" customWidth="1"/>
    <col min="6665" max="6913" width="11.33203125" style="23"/>
    <col min="6914" max="6914" width="83.6640625" style="23" customWidth="1"/>
    <col min="6915" max="6915" width="10.6640625" style="23" customWidth="1"/>
    <col min="6916" max="6916" width="50.6640625" style="23" customWidth="1"/>
    <col min="6917" max="6917" width="30.6640625" style="23" customWidth="1"/>
    <col min="6918" max="6919" width="10.6640625" style="23" customWidth="1"/>
    <col min="6920" max="6920" width="20.6640625" style="23" customWidth="1"/>
    <col min="6921" max="7169" width="11.33203125" style="23"/>
    <col min="7170" max="7170" width="83.6640625" style="23" customWidth="1"/>
    <col min="7171" max="7171" width="10.6640625" style="23" customWidth="1"/>
    <col min="7172" max="7172" width="50.6640625" style="23" customWidth="1"/>
    <col min="7173" max="7173" width="30.6640625" style="23" customWidth="1"/>
    <col min="7174" max="7175" width="10.6640625" style="23" customWidth="1"/>
    <col min="7176" max="7176" width="20.6640625" style="23" customWidth="1"/>
    <col min="7177" max="7425" width="11.33203125" style="23"/>
    <col min="7426" max="7426" width="83.6640625" style="23" customWidth="1"/>
    <col min="7427" max="7427" width="10.6640625" style="23" customWidth="1"/>
    <col min="7428" max="7428" width="50.6640625" style="23" customWidth="1"/>
    <col min="7429" max="7429" width="30.6640625" style="23" customWidth="1"/>
    <col min="7430" max="7431" width="10.6640625" style="23" customWidth="1"/>
    <col min="7432" max="7432" width="20.6640625" style="23" customWidth="1"/>
    <col min="7433" max="7681" width="11.33203125" style="23"/>
    <col min="7682" max="7682" width="83.6640625" style="23" customWidth="1"/>
    <col min="7683" max="7683" width="10.6640625" style="23" customWidth="1"/>
    <col min="7684" max="7684" width="50.6640625" style="23" customWidth="1"/>
    <col min="7685" max="7685" width="30.6640625" style="23" customWidth="1"/>
    <col min="7686" max="7687" width="10.6640625" style="23" customWidth="1"/>
    <col min="7688" max="7688" width="20.6640625" style="23" customWidth="1"/>
    <col min="7689" max="7937" width="11.33203125" style="23"/>
    <col min="7938" max="7938" width="83.6640625" style="23" customWidth="1"/>
    <col min="7939" max="7939" width="10.6640625" style="23" customWidth="1"/>
    <col min="7940" max="7940" width="50.6640625" style="23" customWidth="1"/>
    <col min="7941" max="7941" width="30.6640625" style="23" customWidth="1"/>
    <col min="7942" max="7943" width="10.6640625" style="23" customWidth="1"/>
    <col min="7944" max="7944" width="20.6640625" style="23" customWidth="1"/>
    <col min="7945" max="8193" width="11.33203125" style="23"/>
    <col min="8194" max="8194" width="83.6640625" style="23" customWidth="1"/>
    <col min="8195" max="8195" width="10.6640625" style="23" customWidth="1"/>
    <col min="8196" max="8196" width="50.6640625" style="23" customWidth="1"/>
    <col min="8197" max="8197" width="30.6640625" style="23" customWidth="1"/>
    <col min="8198" max="8199" width="10.6640625" style="23" customWidth="1"/>
    <col min="8200" max="8200" width="20.6640625" style="23" customWidth="1"/>
    <col min="8201" max="8449" width="11.33203125" style="23"/>
    <col min="8450" max="8450" width="83.6640625" style="23" customWidth="1"/>
    <col min="8451" max="8451" width="10.6640625" style="23" customWidth="1"/>
    <col min="8452" max="8452" width="50.6640625" style="23" customWidth="1"/>
    <col min="8453" max="8453" width="30.6640625" style="23" customWidth="1"/>
    <col min="8454" max="8455" width="10.6640625" style="23" customWidth="1"/>
    <col min="8456" max="8456" width="20.6640625" style="23" customWidth="1"/>
    <col min="8457" max="8705" width="11.33203125" style="23"/>
    <col min="8706" max="8706" width="83.6640625" style="23" customWidth="1"/>
    <col min="8707" max="8707" width="10.6640625" style="23" customWidth="1"/>
    <col min="8708" max="8708" width="50.6640625" style="23" customWidth="1"/>
    <col min="8709" max="8709" width="30.6640625" style="23" customWidth="1"/>
    <col min="8710" max="8711" width="10.6640625" style="23" customWidth="1"/>
    <col min="8712" max="8712" width="20.6640625" style="23" customWidth="1"/>
    <col min="8713" max="8961" width="11.33203125" style="23"/>
    <col min="8962" max="8962" width="83.6640625" style="23" customWidth="1"/>
    <col min="8963" max="8963" width="10.6640625" style="23" customWidth="1"/>
    <col min="8964" max="8964" width="50.6640625" style="23" customWidth="1"/>
    <col min="8965" max="8965" width="30.6640625" style="23" customWidth="1"/>
    <col min="8966" max="8967" width="10.6640625" style="23" customWidth="1"/>
    <col min="8968" max="8968" width="20.6640625" style="23" customWidth="1"/>
    <col min="8969" max="9217" width="11.33203125" style="23"/>
    <col min="9218" max="9218" width="83.6640625" style="23" customWidth="1"/>
    <col min="9219" max="9219" width="10.6640625" style="23" customWidth="1"/>
    <col min="9220" max="9220" width="50.6640625" style="23" customWidth="1"/>
    <col min="9221" max="9221" width="30.6640625" style="23" customWidth="1"/>
    <col min="9222" max="9223" width="10.6640625" style="23" customWidth="1"/>
    <col min="9224" max="9224" width="20.6640625" style="23" customWidth="1"/>
    <col min="9225" max="9473" width="11.33203125" style="23"/>
    <col min="9474" max="9474" width="83.6640625" style="23" customWidth="1"/>
    <col min="9475" max="9475" width="10.6640625" style="23" customWidth="1"/>
    <col min="9476" max="9476" width="50.6640625" style="23" customWidth="1"/>
    <col min="9477" max="9477" width="30.6640625" style="23" customWidth="1"/>
    <col min="9478" max="9479" width="10.6640625" style="23" customWidth="1"/>
    <col min="9480" max="9480" width="20.6640625" style="23" customWidth="1"/>
    <col min="9481" max="9729" width="11.33203125" style="23"/>
    <col min="9730" max="9730" width="83.6640625" style="23" customWidth="1"/>
    <col min="9731" max="9731" width="10.6640625" style="23" customWidth="1"/>
    <col min="9732" max="9732" width="50.6640625" style="23" customWidth="1"/>
    <col min="9733" max="9733" width="30.6640625" style="23" customWidth="1"/>
    <col min="9734" max="9735" width="10.6640625" style="23" customWidth="1"/>
    <col min="9736" max="9736" width="20.6640625" style="23" customWidth="1"/>
    <col min="9737" max="9985" width="11.33203125" style="23"/>
    <col min="9986" max="9986" width="83.6640625" style="23" customWidth="1"/>
    <col min="9987" max="9987" width="10.6640625" style="23" customWidth="1"/>
    <col min="9988" max="9988" width="50.6640625" style="23" customWidth="1"/>
    <col min="9989" max="9989" width="30.6640625" style="23" customWidth="1"/>
    <col min="9990" max="9991" width="10.6640625" style="23" customWidth="1"/>
    <col min="9992" max="9992" width="20.6640625" style="23" customWidth="1"/>
    <col min="9993" max="10241" width="11.33203125" style="23"/>
    <col min="10242" max="10242" width="83.6640625" style="23" customWidth="1"/>
    <col min="10243" max="10243" width="10.6640625" style="23" customWidth="1"/>
    <col min="10244" max="10244" width="50.6640625" style="23" customWidth="1"/>
    <col min="10245" max="10245" width="30.6640625" style="23" customWidth="1"/>
    <col min="10246" max="10247" width="10.6640625" style="23" customWidth="1"/>
    <col min="10248" max="10248" width="20.6640625" style="23" customWidth="1"/>
    <col min="10249" max="10497" width="11.33203125" style="23"/>
    <col min="10498" max="10498" width="83.6640625" style="23" customWidth="1"/>
    <col min="10499" max="10499" width="10.6640625" style="23" customWidth="1"/>
    <col min="10500" max="10500" width="50.6640625" style="23" customWidth="1"/>
    <col min="10501" max="10501" width="30.6640625" style="23" customWidth="1"/>
    <col min="10502" max="10503" width="10.6640625" style="23" customWidth="1"/>
    <col min="10504" max="10504" width="20.6640625" style="23" customWidth="1"/>
    <col min="10505" max="10753" width="11.33203125" style="23"/>
    <col min="10754" max="10754" width="83.6640625" style="23" customWidth="1"/>
    <col min="10755" max="10755" width="10.6640625" style="23" customWidth="1"/>
    <col min="10756" max="10756" width="50.6640625" style="23" customWidth="1"/>
    <col min="10757" max="10757" width="30.6640625" style="23" customWidth="1"/>
    <col min="10758" max="10759" width="10.6640625" style="23" customWidth="1"/>
    <col min="10760" max="10760" width="20.6640625" style="23" customWidth="1"/>
    <col min="10761" max="11009" width="11.33203125" style="23"/>
    <col min="11010" max="11010" width="83.6640625" style="23" customWidth="1"/>
    <col min="11011" max="11011" width="10.6640625" style="23" customWidth="1"/>
    <col min="11012" max="11012" width="50.6640625" style="23" customWidth="1"/>
    <col min="11013" max="11013" width="30.6640625" style="23" customWidth="1"/>
    <col min="11014" max="11015" width="10.6640625" style="23" customWidth="1"/>
    <col min="11016" max="11016" width="20.6640625" style="23" customWidth="1"/>
    <col min="11017" max="11265" width="11.33203125" style="23"/>
    <col min="11266" max="11266" width="83.6640625" style="23" customWidth="1"/>
    <col min="11267" max="11267" width="10.6640625" style="23" customWidth="1"/>
    <col min="11268" max="11268" width="50.6640625" style="23" customWidth="1"/>
    <col min="11269" max="11269" width="30.6640625" style="23" customWidth="1"/>
    <col min="11270" max="11271" width="10.6640625" style="23" customWidth="1"/>
    <col min="11272" max="11272" width="20.6640625" style="23" customWidth="1"/>
    <col min="11273" max="11521" width="11.33203125" style="23"/>
    <col min="11522" max="11522" width="83.6640625" style="23" customWidth="1"/>
    <col min="11523" max="11523" width="10.6640625" style="23" customWidth="1"/>
    <col min="11524" max="11524" width="50.6640625" style="23" customWidth="1"/>
    <col min="11525" max="11525" width="30.6640625" style="23" customWidth="1"/>
    <col min="11526" max="11527" width="10.6640625" style="23" customWidth="1"/>
    <col min="11528" max="11528" width="20.6640625" style="23" customWidth="1"/>
    <col min="11529" max="11777" width="11.33203125" style="23"/>
    <col min="11778" max="11778" width="83.6640625" style="23" customWidth="1"/>
    <col min="11779" max="11779" width="10.6640625" style="23" customWidth="1"/>
    <col min="11780" max="11780" width="50.6640625" style="23" customWidth="1"/>
    <col min="11781" max="11781" width="30.6640625" style="23" customWidth="1"/>
    <col min="11782" max="11783" width="10.6640625" style="23" customWidth="1"/>
    <col min="11784" max="11784" width="20.6640625" style="23" customWidth="1"/>
    <col min="11785" max="12033" width="11.33203125" style="23"/>
    <col min="12034" max="12034" width="83.6640625" style="23" customWidth="1"/>
    <col min="12035" max="12035" width="10.6640625" style="23" customWidth="1"/>
    <col min="12036" max="12036" width="50.6640625" style="23" customWidth="1"/>
    <col min="12037" max="12037" width="30.6640625" style="23" customWidth="1"/>
    <col min="12038" max="12039" width="10.6640625" style="23" customWidth="1"/>
    <col min="12040" max="12040" width="20.6640625" style="23" customWidth="1"/>
    <col min="12041" max="12289" width="11.33203125" style="23"/>
    <col min="12290" max="12290" width="83.6640625" style="23" customWidth="1"/>
    <col min="12291" max="12291" width="10.6640625" style="23" customWidth="1"/>
    <col min="12292" max="12292" width="50.6640625" style="23" customWidth="1"/>
    <col min="12293" max="12293" width="30.6640625" style="23" customWidth="1"/>
    <col min="12294" max="12295" width="10.6640625" style="23" customWidth="1"/>
    <col min="12296" max="12296" width="20.6640625" style="23" customWidth="1"/>
    <col min="12297" max="12545" width="11.33203125" style="23"/>
    <col min="12546" max="12546" width="83.6640625" style="23" customWidth="1"/>
    <col min="12547" max="12547" width="10.6640625" style="23" customWidth="1"/>
    <col min="12548" max="12548" width="50.6640625" style="23" customWidth="1"/>
    <col min="12549" max="12549" width="30.6640625" style="23" customWidth="1"/>
    <col min="12550" max="12551" width="10.6640625" style="23" customWidth="1"/>
    <col min="12552" max="12552" width="20.6640625" style="23" customWidth="1"/>
    <col min="12553" max="12801" width="11.33203125" style="23"/>
    <col min="12802" max="12802" width="83.6640625" style="23" customWidth="1"/>
    <col min="12803" max="12803" width="10.6640625" style="23" customWidth="1"/>
    <col min="12804" max="12804" width="50.6640625" style="23" customWidth="1"/>
    <col min="12805" max="12805" width="30.6640625" style="23" customWidth="1"/>
    <col min="12806" max="12807" width="10.6640625" style="23" customWidth="1"/>
    <col min="12808" max="12808" width="20.6640625" style="23" customWidth="1"/>
    <col min="12809" max="13057" width="11.33203125" style="23"/>
    <col min="13058" max="13058" width="83.6640625" style="23" customWidth="1"/>
    <col min="13059" max="13059" width="10.6640625" style="23" customWidth="1"/>
    <col min="13060" max="13060" width="50.6640625" style="23" customWidth="1"/>
    <col min="13061" max="13061" width="30.6640625" style="23" customWidth="1"/>
    <col min="13062" max="13063" width="10.6640625" style="23" customWidth="1"/>
    <col min="13064" max="13064" width="20.6640625" style="23" customWidth="1"/>
    <col min="13065" max="13313" width="11.33203125" style="23"/>
    <col min="13314" max="13314" width="83.6640625" style="23" customWidth="1"/>
    <col min="13315" max="13315" width="10.6640625" style="23" customWidth="1"/>
    <col min="13316" max="13316" width="50.6640625" style="23" customWidth="1"/>
    <col min="13317" max="13317" width="30.6640625" style="23" customWidth="1"/>
    <col min="13318" max="13319" width="10.6640625" style="23" customWidth="1"/>
    <col min="13320" max="13320" width="20.6640625" style="23" customWidth="1"/>
    <col min="13321" max="13569" width="11.33203125" style="23"/>
    <col min="13570" max="13570" width="83.6640625" style="23" customWidth="1"/>
    <col min="13571" max="13571" width="10.6640625" style="23" customWidth="1"/>
    <col min="13572" max="13572" width="50.6640625" style="23" customWidth="1"/>
    <col min="13573" max="13573" width="30.6640625" style="23" customWidth="1"/>
    <col min="13574" max="13575" width="10.6640625" style="23" customWidth="1"/>
    <col min="13576" max="13576" width="20.6640625" style="23" customWidth="1"/>
    <col min="13577" max="13825" width="11.33203125" style="23"/>
    <col min="13826" max="13826" width="83.6640625" style="23" customWidth="1"/>
    <col min="13827" max="13827" width="10.6640625" style="23" customWidth="1"/>
    <col min="13828" max="13828" width="50.6640625" style="23" customWidth="1"/>
    <col min="13829" max="13829" width="30.6640625" style="23" customWidth="1"/>
    <col min="13830" max="13831" width="10.6640625" style="23" customWidth="1"/>
    <col min="13832" max="13832" width="20.6640625" style="23" customWidth="1"/>
    <col min="13833" max="14081" width="11.33203125" style="23"/>
    <col min="14082" max="14082" width="83.6640625" style="23" customWidth="1"/>
    <col min="14083" max="14083" width="10.6640625" style="23" customWidth="1"/>
    <col min="14084" max="14084" width="50.6640625" style="23" customWidth="1"/>
    <col min="14085" max="14085" width="30.6640625" style="23" customWidth="1"/>
    <col min="14086" max="14087" width="10.6640625" style="23" customWidth="1"/>
    <col min="14088" max="14088" width="20.6640625" style="23" customWidth="1"/>
    <col min="14089" max="14337" width="11.33203125" style="23"/>
    <col min="14338" max="14338" width="83.6640625" style="23" customWidth="1"/>
    <col min="14339" max="14339" width="10.6640625" style="23" customWidth="1"/>
    <col min="14340" max="14340" width="50.6640625" style="23" customWidth="1"/>
    <col min="14341" max="14341" width="30.6640625" style="23" customWidth="1"/>
    <col min="14342" max="14343" width="10.6640625" style="23" customWidth="1"/>
    <col min="14344" max="14344" width="20.6640625" style="23" customWidth="1"/>
    <col min="14345" max="14593" width="11.33203125" style="23"/>
    <col min="14594" max="14594" width="83.6640625" style="23" customWidth="1"/>
    <col min="14595" max="14595" width="10.6640625" style="23" customWidth="1"/>
    <col min="14596" max="14596" width="50.6640625" style="23" customWidth="1"/>
    <col min="14597" max="14597" width="30.6640625" style="23" customWidth="1"/>
    <col min="14598" max="14599" width="10.6640625" style="23" customWidth="1"/>
    <col min="14600" max="14600" width="20.6640625" style="23" customWidth="1"/>
    <col min="14601" max="14849" width="11.33203125" style="23"/>
    <col min="14850" max="14850" width="83.6640625" style="23" customWidth="1"/>
    <col min="14851" max="14851" width="10.6640625" style="23" customWidth="1"/>
    <col min="14852" max="14852" width="50.6640625" style="23" customWidth="1"/>
    <col min="14853" max="14853" width="30.6640625" style="23" customWidth="1"/>
    <col min="14854" max="14855" width="10.6640625" style="23" customWidth="1"/>
    <col min="14856" max="14856" width="20.6640625" style="23" customWidth="1"/>
    <col min="14857" max="15105" width="11.33203125" style="23"/>
    <col min="15106" max="15106" width="83.6640625" style="23" customWidth="1"/>
    <col min="15107" max="15107" width="10.6640625" style="23" customWidth="1"/>
    <col min="15108" max="15108" width="50.6640625" style="23" customWidth="1"/>
    <col min="15109" max="15109" width="30.6640625" style="23" customWidth="1"/>
    <col min="15110" max="15111" width="10.6640625" style="23" customWidth="1"/>
    <col min="15112" max="15112" width="20.6640625" style="23" customWidth="1"/>
    <col min="15113" max="15361" width="11.33203125" style="23"/>
    <col min="15362" max="15362" width="83.6640625" style="23" customWidth="1"/>
    <col min="15363" max="15363" width="10.6640625" style="23" customWidth="1"/>
    <col min="15364" max="15364" width="50.6640625" style="23" customWidth="1"/>
    <col min="15365" max="15365" width="30.6640625" style="23" customWidth="1"/>
    <col min="15366" max="15367" width="10.6640625" style="23" customWidth="1"/>
    <col min="15368" max="15368" width="20.6640625" style="23" customWidth="1"/>
    <col min="15369" max="15617" width="11.33203125" style="23"/>
    <col min="15618" max="15618" width="83.6640625" style="23" customWidth="1"/>
    <col min="15619" max="15619" width="10.6640625" style="23" customWidth="1"/>
    <col min="15620" max="15620" width="50.6640625" style="23" customWidth="1"/>
    <col min="15621" max="15621" width="30.6640625" style="23" customWidth="1"/>
    <col min="15622" max="15623" width="10.6640625" style="23" customWidth="1"/>
    <col min="15624" max="15624" width="20.6640625" style="23" customWidth="1"/>
    <col min="15625" max="15873" width="11.33203125" style="23"/>
    <col min="15874" max="15874" width="83.6640625" style="23" customWidth="1"/>
    <col min="15875" max="15875" width="10.6640625" style="23" customWidth="1"/>
    <col min="15876" max="15876" width="50.6640625" style="23" customWidth="1"/>
    <col min="15877" max="15877" width="30.6640625" style="23" customWidth="1"/>
    <col min="15878" max="15879" width="10.6640625" style="23" customWidth="1"/>
    <col min="15880" max="15880" width="20.6640625" style="23" customWidth="1"/>
    <col min="15881" max="16129" width="11.33203125" style="23"/>
    <col min="16130" max="16130" width="83.6640625" style="23" customWidth="1"/>
    <col min="16131" max="16131" width="10.6640625" style="23" customWidth="1"/>
    <col min="16132" max="16132" width="50.6640625" style="23" customWidth="1"/>
    <col min="16133" max="16133" width="30.6640625" style="23" customWidth="1"/>
    <col min="16134" max="16135" width="10.6640625" style="23" customWidth="1"/>
    <col min="16136" max="16136" width="20.6640625" style="23" customWidth="1"/>
    <col min="16137" max="16384" width="11.33203125" style="23"/>
  </cols>
  <sheetData>
    <row r="1" spans="2:16" s="21" customFormat="1" ht="48" customHeight="1">
      <c r="B1" s="20"/>
      <c r="F1" s="26"/>
      <c r="H1" s="26"/>
      <c r="I1" s="26"/>
      <c r="J1" s="26"/>
      <c r="K1" s="26"/>
      <c r="L1" s="26"/>
      <c r="M1" s="26"/>
      <c r="N1" s="26"/>
      <c r="O1" s="26"/>
      <c r="P1" s="26"/>
    </row>
    <row r="2" spans="2:16" s="21" customFormat="1" ht="3" customHeight="1" thickBot="1">
      <c r="B2" s="20"/>
      <c r="F2" s="26"/>
      <c r="H2" s="26"/>
      <c r="I2" s="26"/>
      <c r="J2" s="26"/>
      <c r="K2" s="26"/>
      <c r="L2" s="26"/>
      <c r="M2" s="26"/>
      <c r="N2" s="26"/>
      <c r="O2" s="26"/>
      <c r="P2" s="26"/>
    </row>
    <row r="3" spans="2:16" s="21" customFormat="1" ht="46" customHeight="1" thickBot="1">
      <c r="B3" s="278" t="s">
        <v>359</v>
      </c>
      <c r="C3" s="279"/>
      <c r="D3" s="279"/>
      <c r="E3" s="280"/>
      <c r="F3" s="251"/>
      <c r="G3" s="252" t="s">
        <v>442</v>
      </c>
      <c r="H3" s="26"/>
      <c r="I3" s="26"/>
      <c r="J3" s="26"/>
      <c r="K3" s="26"/>
      <c r="L3" s="26"/>
      <c r="M3" s="26"/>
      <c r="N3" s="26"/>
      <c r="O3" s="26"/>
      <c r="P3" s="26"/>
    </row>
    <row r="4" spans="2:16" s="21" customFormat="1" ht="3" customHeight="1" thickBot="1">
      <c r="B4" s="20"/>
      <c r="H4" s="26"/>
      <c r="I4" s="26"/>
      <c r="J4" s="26"/>
      <c r="K4" s="26"/>
      <c r="L4" s="26"/>
      <c r="M4" s="26"/>
      <c r="N4" s="26"/>
      <c r="O4" s="26"/>
      <c r="P4" s="26"/>
    </row>
    <row r="5" spans="2:16" s="24" customFormat="1" ht="24">
      <c r="B5" s="259" t="s">
        <v>182</v>
      </c>
      <c r="C5" s="260" t="s">
        <v>8</v>
      </c>
      <c r="D5" s="261" t="s">
        <v>181</v>
      </c>
      <c r="E5" s="281" t="s">
        <v>9</v>
      </c>
      <c r="F5" s="282"/>
      <c r="G5" s="283"/>
    </row>
    <row r="6" spans="2:16" s="24" customFormat="1" ht="21">
      <c r="B6" s="262" t="s">
        <v>116</v>
      </c>
      <c r="C6" s="248"/>
      <c r="D6" s="249"/>
      <c r="E6" s="284"/>
      <c r="F6" s="272"/>
      <c r="G6" s="273"/>
    </row>
    <row r="7" spans="2:16" s="24" customFormat="1" ht="42">
      <c r="B7" s="263" t="s">
        <v>306</v>
      </c>
      <c r="C7" s="255"/>
      <c r="D7" s="253"/>
      <c r="E7" s="271" t="s">
        <v>128</v>
      </c>
      <c r="F7" s="272"/>
      <c r="G7" s="273"/>
    </row>
    <row r="8" spans="2:16" s="24" customFormat="1" ht="84">
      <c r="B8" s="264" t="s">
        <v>430</v>
      </c>
      <c r="C8" s="256"/>
      <c r="D8" s="254"/>
      <c r="E8" s="285" t="s">
        <v>297</v>
      </c>
      <c r="F8" s="272"/>
      <c r="G8" s="273"/>
    </row>
    <row r="9" spans="2:16" s="24" customFormat="1" ht="15">
      <c r="B9" s="263" t="s">
        <v>307</v>
      </c>
      <c r="C9" s="255"/>
      <c r="D9" s="253"/>
      <c r="E9" s="271"/>
      <c r="F9" s="272"/>
      <c r="G9" s="273"/>
    </row>
    <row r="10" spans="2:16" s="24" customFormat="1" ht="21">
      <c r="B10" s="262" t="s">
        <v>184</v>
      </c>
      <c r="C10" s="248"/>
      <c r="D10" s="250"/>
      <c r="E10" s="274"/>
      <c r="F10" s="272"/>
      <c r="G10" s="273"/>
    </row>
    <row r="11" spans="2:16" s="24" customFormat="1" ht="98">
      <c r="B11" s="265" t="s">
        <v>222</v>
      </c>
      <c r="C11" s="257"/>
      <c r="D11" s="258"/>
      <c r="E11" s="275"/>
      <c r="F11" s="276"/>
      <c r="G11" s="277"/>
    </row>
    <row r="12" spans="2:16" s="24" customFormat="1" ht="6" customHeight="1" thickBot="1">
      <c r="B12" s="266"/>
      <c r="C12" s="267"/>
      <c r="D12" s="268"/>
      <c r="E12" s="268"/>
      <c r="F12" s="268"/>
      <c r="G12" s="269"/>
    </row>
    <row r="13" spans="2:16" s="24" customFormat="1">
      <c r="C13" s="25"/>
    </row>
    <row r="14" spans="2:16" s="24" customFormat="1">
      <c r="C14" s="25"/>
    </row>
    <row r="15" spans="2:16" s="24" customFormat="1">
      <c r="C15" s="25"/>
    </row>
    <row r="16" spans="2:16" s="24" customFormat="1">
      <c r="C16" s="25"/>
    </row>
    <row r="17" spans="3:3" s="24" customFormat="1">
      <c r="C17" s="25"/>
    </row>
    <row r="18" spans="3:3" s="24" customFormat="1">
      <c r="C18" s="25"/>
    </row>
    <row r="19" spans="3:3" s="24" customFormat="1">
      <c r="C19" s="25"/>
    </row>
    <row r="20" spans="3:3" s="24" customFormat="1">
      <c r="C20" s="25"/>
    </row>
    <row r="21" spans="3:3" s="24" customFormat="1">
      <c r="C21" s="25"/>
    </row>
    <row r="22" spans="3:3" s="24" customFormat="1">
      <c r="C22" s="25"/>
    </row>
    <row r="23" spans="3:3" s="24" customFormat="1">
      <c r="C23" s="25"/>
    </row>
    <row r="24" spans="3:3" s="24" customFormat="1">
      <c r="C24" s="25"/>
    </row>
    <row r="25" spans="3:3" s="24" customFormat="1">
      <c r="C25" s="25"/>
    </row>
    <row r="26" spans="3:3" s="24" customFormat="1">
      <c r="C26" s="25"/>
    </row>
    <row r="27" spans="3:3" s="24" customFormat="1">
      <c r="C27" s="25"/>
    </row>
    <row r="28" spans="3:3" s="24" customFormat="1">
      <c r="C28" s="25"/>
    </row>
    <row r="29" spans="3:3" s="24" customFormat="1">
      <c r="C29" s="25"/>
    </row>
    <row r="30" spans="3:3" s="24" customFormat="1">
      <c r="C30" s="25"/>
    </row>
    <row r="31" spans="3:3" s="24" customFormat="1">
      <c r="C31" s="25"/>
    </row>
    <row r="32" spans="3:3" s="24" customFormat="1">
      <c r="C32" s="25"/>
    </row>
    <row r="33" spans="3:3" s="24" customFormat="1">
      <c r="C33" s="25"/>
    </row>
    <row r="34" spans="3:3" s="24" customFormat="1">
      <c r="C34" s="25"/>
    </row>
    <row r="35" spans="3:3" s="24" customFormat="1">
      <c r="C35" s="25"/>
    </row>
    <row r="36" spans="3:3" s="24" customFormat="1">
      <c r="C36" s="25"/>
    </row>
    <row r="37" spans="3:3" s="24" customFormat="1">
      <c r="C37" s="25"/>
    </row>
    <row r="38" spans="3:3" s="24" customFormat="1">
      <c r="C38" s="25"/>
    </row>
    <row r="39" spans="3:3" s="24" customFormat="1">
      <c r="C39" s="25"/>
    </row>
    <row r="40" spans="3:3" s="24" customFormat="1">
      <c r="C40" s="25"/>
    </row>
    <row r="41" spans="3:3" s="24" customFormat="1">
      <c r="C41" s="25"/>
    </row>
    <row r="42" spans="3:3" s="24" customFormat="1">
      <c r="C42" s="25"/>
    </row>
    <row r="43" spans="3:3" s="24" customFormat="1">
      <c r="C43" s="25"/>
    </row>
    <row r="44" spans="3:3" s="24" customFormat="1">
      <c r="C44" s="25"/>
    </row>
    <row r="45" spans="3:3" s="24" customFormat="1">
      <c r="C45" s="25"/>
    </row>
    <row r="46" spans="3:3" s="24" customFormat="1">
      <c r="C46" s="25"/>
    </row>
    <row r="47" spans="3:3" s="24" customFormat="1">
      <c r="C47" s="25"/>
    </row>
    <row r="48" spans="3:3" s="24" customFormat="1">
      <c r="C48" s="25"/>
    </row>
    <row r="49" spans="3:3" s="24" customFormat="1">
      <c r="C49" s="25"/>
    </row>
    <row r="50" spans="3:3" s="24" customFormat="1">
      <c r="C50" s="25"/>
    </row>
    <row r="51" spans="3:3" s="24" customFormat="1">
      <c r="C51" s="25"/>
    </row>
    <row r="52" spans="3:3" s="24" customFormat="1">
      <c r="C52" s="25"/>
    </row>
    <row r="53" spans="3:3" s="24" customFormat="1">
      <c r="C53" s="25"/>
    </row>
    <row r="54" spans="3:3" s="24" customFormat="1">
      <c r="C54" s="25"/>
    </row>
    <row r="55" spans="3:3" s="24" customFormat="1">
      <c r="C55" s="25"/>
    </row>
    <row r="56" spans="3:3" s="24" customFormat="1">
      <c r="C56" s="25"/>
    </row>
    <row r="57" spans="3:3" s="24" customFormat="1">
      <c r="C57" s="25"/>
    </row>
    <row r="58" spans="3:3" s="24" customFormat="1">
      <c r="C58" s="25"/>
    </row>
    <row r="59" spans="3:3" s="24" customFormat="1">
      <c r="C59" s="25"/>
    </row>
    <row r="60" spans="3:3" s="24" customFormat="1">
      <c r="C60" s="25"/>
    </row>
    <row r="61" spans="3:3" s="24" customFormat="1">
      <c r="C61" s="25"/>
    </row>
    <row r="62" spans="3:3" s="24" customFormat="1">
      <c r="C62" s="25"/>
    </row>
    <row r="63" spans="3:3" s="24" customFormat="1">
      <c r="C63" s="25"/>
    </row>
    <row r="64" spans="3:3" s="24" customFormat="1">
      <c r="C64" s="25"/>
    </row>
    <row r="65" spans="3:3" s="24" customFormat="1">
      <c r="C65" s="25"/>
    </row>
    <row r="66" spans="3:3" s="24" customFormat="1">
      <c r="C66" s="25"/>
    </row>
    <row r="67" spans="3:3" s="24" customFormat="1">
      <c r="C67" s="25"/>
    </row>
    <row r="68" spans="3:3" s="24" customFormat="1">
      <c r="C68" s="25"/>
    </row>
    <row r="69" spans="3:3" s="24" customFormat="1">
      <c r="C69" s="25"/>
    </row>
    <row r="70" spans="3:3" s="24" customFormat="1">
      <c r="C70" s="25"/>
    </row>
    <row r="71" spans="3:3" s="24" customFormat="1">
      <c r="C71" s="25"/>
    </row>
    <row r="72" spans="3:3" s="24" customFormat="1">
      <c r="C72" s="25"/>
    </row>
    <row r="73" spans="3:3" s="24" customFormat="1">
      <c r="C73" s="25"/>
    </row>
    <row r="74" spans="3:3" s="24" customFormat="1">
      <c r="C74" s="25"/>
    </row>
    <row r="75" spans="3:3" s="24" customFormat="1">
      <c r="C75" s="25"/>
    </row>
    <row r="76" spans="3:3" s="24" customFormat="1">
      <c r="C76" s="25"/>
    </row>
    <row r="77" spans="3:3" s="24" customFormat="1">
      <c r="C77" s="25"/>
    </row>
    <row r="78" spans="3:3" s="24" customFormat="1">
      <c r="C78" s="25"/>
    </row>
    <row r="79" spans="3:3" s="24" customFormat="1">
      <c r="C79" s="25"/>
    </row>
    <row r="80" spans="3:3" s="24" customFormat="1">
      <c r="C80" s="25"/>
    </row>
    <row r="81" spans="3:3" s="24" customFormat="1">
      <c r="C81" s="25"/>
    </row>
    <row r="82" spans="3:3" s="24" customFormat="1">
      <c r="C82" s="25"/>
    </row>
    <row r="83" spans="3:3" s="24" customFormat="1">
      <c r="C83" s="25"/>
    </row>
    <row r="84" spans="3:3" s="24" customFormat="1">
      <c r="C84" s="25"/>
    </row>
    <row r="85" spans="3:3" s="24" customFormat="1">
      <c r="C85" s="25"/>
    </row>
    <row r="86" spans="3:3" s="24" customFormat="1">
      <c r="C86" s="25"/>
    </row>
    <row r="87" spans="3:3" s="24" customFormat="1">
      <c r="C87" s="25"/>
    </row>
    <row r="88" spans="3:3" s="24" customFormat="1">
      <c r="C88" s="25"/>
    </row>
    <row r="89" spans="3:3" s="24" customFormat="1">
      <c r="C89" s="25"/>
    </row>
    <row r="90" spans="3:3" s="24" customFormat="1">
      <c r="C90" s="25"/>
    </row>
    <row r="91" spans="3:3" s="24" customFormat="1">
      <c r="C91" s="25"/>
    </row>
    <row r="92" spans="3:3" s="24" customFormat="1">
      <c r="C92" s="25"/>
    </row>
    <row r="93" spans="3:3" s="24" customFormat="1">
      <c r="C93" s="25"/>
    </row>
    <row r="94" spans="3:3" s="24" customFormat="1">
      <c r="C94" s="25"/>
    </row>
    <row r="95" spans="3:3" s="24" customFormat="1">
      <c r="C95" s="25"/>
    </row>
    <row r="96" spans="3:3" s="24" customFormat="1">
      <c r="C96" s="25"/>
    </row>
    <row r="97" spans="3:3" s="24" customFormat="1">
      <c r="C97" s="25"/>
    </row>
    <row r="98" spans="3:3" s="24" customFormat="1">
      <c r="C98" s="25"/>
    </row>
    <row r="99" spans="3:3" s="24" customFormat="1">
      <c r="C99" s="25"/>
    </row>
    <row r="100" spans="3:3" s="24" customFormat="1">
      <c r="C100" s="25"/>
    </row>
    <row r="101" spans="3:3" s="24" customFormat="1">
      <c r="C101" s="25"/>
    </row>
    <row r="102" spans="3:3" s="24" customFormat="1">
      <c r="C102" s="25"/>
    </row>
    <row r="103" spans="3:3" s="24" customFormat="1">
      <c r="C103" s="25"/>
    </row>
    <row r="104" spans="3:3" s="24" customFormat="1">
      <c r="C104" s="25"/>
    </row>
    <row r="105" spans="3:3" s="24" customFormat="1">
      <c r="C105" s="25"/>
    </row>
    <row r="106" spans="3:3" s="24" customFormat="1">
      <c r="C106" s="25"/>
    </row>
    <row r="107" spans="3:3" s="24" customFormat="1">
      <c r="C107" s="25"/>
    </row>
    <row r="108" spans="3:3" s="24" customFormat="1">
      <c r="C108" s="25"/>
    </row>
    <row r="109" spans="3:3" s="24" customFormat="1">
      <c r="C109" s="25"/>
    </row>
    <row r="110" spans="3:3" s="24" customFormat="1">
      <c r="C110" s="25"/>
    </row>
    <row r="111" spans="3:3" s="24" customFormat="1">
      <c r="C111" s="25"/>
    </row>
    <row r="112" spans="3:3" s="24" customFormat="1">
      <c r="C112" s="25"/>
    </row>
    <row r="113" spans="3:3" s="24" customFormat="1">
      <c r="C113" s="25"/>
    </row>
    <row r="114" spans="3:3" s="24" customFormat="1">
      <c r="C114" s="25"/>
    </row>
    <row r="115" spans="3:3" s="24" customFormat="1">
      <c r="C115" s="25"/>
    </row>
    <row r="116" spans="3:3" s="24" customFormat="1">
      <c r="C116" s="25"/>
    </row>
    <row r="117" spans="3:3" s="24" customFormat="1">
      <c r="C117" s="25"/>
    </row>
    <row r="118" spans="3:3" s="24" customFormat="1">
      <c r="C118" s="25"/>
    </row>
    <row r="119" spans="3:3" s="24" customFormat="1">
      <c r="C119" s="25"/>
    </row>
    <row r="120" spans="3:3" s="24" customFormat="1">
      <c r="C120" s="25"/>
    </row>
    <row r="121" spans="3:3" s="24" customFormat="1">
      <c r="C121" s="25"/>
    </row>
    <row r="122" spans="3:3" s="24" customFormat="1">
      <c r="C122" s="25"/>
    </row>
    <row r="123" spans="3:3" s="24" customFormat="1">
      <c r="C123" s="25"/>
    </row>
    <row r="124" spans="3:3" s="24" customFormat="1">
      <c r="C124" s="25"/>
    </row>
    <row r="125" spans="3:3" s="24" customFormat="1">
      <c r="C125" s="25"/>
    </row>
    <row r="126" spans="3:3" s="24" customFormat="1">
      <c r="C126" s="25"/>
    </row>
    <row r="127" spans="3:3" s="24" customFormat="1">
      <c r="C127" s="25"/>
    </row>
    <row r="128" spans="3:3" s="24" customFormat="1">
      <c r="C128" s="25"/>
    </row>
    <row r="129" spans="3:3" s="24" customFormat="1">
      <c r="C129" s="25"/>
    </row>
    <row r="130" spans="3:3" s="24" customFormat="1">
      <c r="C130" s="25"/>
    </row>
    <row r="131" spans="3:3" s="24" customFormat="1">
      <c r="C131" s="25"/>
    </row>
    <row r="132" spans="3:3" s="24" customFormat="1">
      <c r="C132" s="25"/>
    </row>
    <row r="133" spans="3:3" s="24" customFormat="1">
      <c r="C133" s="25"/>
    </row>
    <row r="134" spans="3:3" s="24" customFormat="1">
      <c r="C134" s="25"/>
    </row>
    <row r="135" spans="3:3" s="24" customFormat="1">
      <c r="C135" s="25"/>
    </row>
    <row r="136" spans="3:3" s="24" customFormat="1">
      <c r="C136" s="25"/>
    </row>
    <row r="137" spans="3:3" s="24" customFormat="1">
      <c r="C137" s="25"/>
    </row>
    <row r="138" spans="3:3" s="24" customFormat="1">
      <c r="C138" s="25"/>
    </row>
    <row r="139" spans="3:3" s="24" customFormat="1">
      <c r="C139" s="25"/>
    </row>
    <row r="140" spans="3:3" s="24" customFormat="1">
      <c r="C140" s="25"/>
    </row>
    <row r="141" spans="3:3" s="24" customFormat="1">
      <c r="C141" s="25"/>
    </row>
    <row r="142" spans="3:3" s="24" customFormat="1">
      <c r="C142" s="25"/>
    </row>
    <row r="143" spans="3:3" s="24" customFormat="1">
      <c r="C143" s="25"/>
    </row>
    <row r="144" spans="3:3" s="24" customFormat="1">
      <c r="C144" s="25"/>
    </row>
    <row r="145" spans="3:3" s="24" customFormat="1">
      <c r="C145" s="25"/>
    </row>
    <row r="146" spans="3:3" s="24" customFormat="1">
      <c r="C146" s="25"/>
    </row>
    <row r="147" spans="3:3" s="24" customFormat="1">
      <c r="C147" s="25"/>
    </row>
    <row r="148" spans="3:3" s="24" customFormat="1">
      <c r="C148" s="25"/>
    </row>
    <row r="149" spans="3:3" s="24" customFormat="1">
      <c r="C149" s="25"/>
    </row>
    <row r="150" spans="3:3" s="24" customFormat="1">
      <c r="C150" s="25"/>
    </row>
    <row r="151" spans="3:3" s="24" customFormat="1">
      <c r="C151" s="25"/>
    </row>
    <row r="152" spans="3:3" s="24" customFormat="1">
      <c r="C152" s="25"/>
    </row>
    <row r="153" spans="3:3" s="24" customFormat="1">
      <c r="C153" s="25"/>
    </row>
    <row r="154" spans="3:3" s="24" customFormat="1">
      <c r="C154" s="25"/>
    </row>
    <row r="155" spans="3:3" s="24" customFormat="1">
      <c r="C155" s="25"/>
    </row>
    <row r="156" spans="3:3" s="24" customFormat="1">
      <c r="C156" s="25"/>
    </row>
    <row r="157" spans="3:3" s="24" customFormat="1">
      <c r="C157" s="25"/>
    </row>
    <row r="158" spans="3:3" s="24" customFormat="1">
      <c r="C158" s="25"/>
    </row>
    <row r="159" spans="3:3" s="24" customFormat="1">
      <c r="C159" s="25"/>
    </row>
    <row r="160" spans="3:3" s="24" customFormat="1">
      <c r="C160" s="25"/>
    </row>
    <row r="161" spans="3:3" s="24" customFormat="1">
      <c r="C161" s="25"/>
    </row>
    <row r="162" spans="3:3" s="24" customFormat="1">
      <c r="C162" s="25"/>
    </row>
    <row r="163" spans="3:3" s="24" customFormat="1">
      <c r="C163" s="25"/>
    </row>
    <row r="164" spans="3:3" s="24" customFormat="1">
      <c r="C164" s="25"/>
    </row>
    <row r="165" spans="3:3" s="24" customFormat="1">
      <c r="C165" s="25"/>
    </row>
    <row r="166" spans="3:3" s="24" customFormat="1">
      <c r="C166" s="25"/>
    </row>
    <row r="167" spans="3:3" s="24" customFormat="1">
      <c r="C167" s="25"/>
    </row>
    <row r="168" spans="3:3" s="24" customFormat="1">
      <c r="C168" s="25"/>
    </row>
    <row r="169" spans="3:3" s="24" customFormat="1">
      <c r="C169" s="25"/>
    </row>
    <row r="170" spans="3:3" s="24" customFormat="1">
      <c r="C170" s="25"/>
    </row>
    <row r="171" spans="3:3" s="24" customFormat="1">
      <c r="C171" s="25"/>
    </row>
    <row r="172" spans="3:3" s="24" customFormat="1">
      <c r="C172" s="25"/>
    </row>
    <row r="173" spans="3:3" s="24" customFormat="1">
      <c r="C173" s="25"/>
    </row>
    <row r="174" spans="3:3" s="24" customFormat="1">
      <c r="C174" s="25"/>
    </row>
    <row r="175" spans="3:3" s="24" customFormat="1">
      <c r="C175" s="25"/>
    </row>
    <row r="176" spans="3:3" s="24" customFormat="1">
      <c r="C176" s="25"/>
    </row>
    <row r="177" spans="3:3" s="24" customFormat="1">
      <c r="C177" s="25"/>
    </row>
    <row r="178" spans="3:3" s="24" customFormat="1">
      <c r="C178" s="25"/>
    </row>
    <row r="179" spans="3:3" s="24" customFormat="1">
      <c r="C179" s="25"/>
    </row>
    <row r="180" spans="3:3" s="24" customFormat="1">
      <c r="C180" s="25"/>
    </row>
    <row r="181" spans="3:3" s="24" customFormat="1">
      <c r="C181" s="25"/>
    </row>
    <row r="182" spans="3:3" s="24" customFormat="1">
      <c r="C182" s="25"/>
    </row>
    <row r="183" spans="3:3" s="24" customFormat="1">
      <c r="C183" s="25"/>
    </row>
    <row r="184" spans="3:3" s="24" customFormat="1">
      <c r="C184" s="25"/>
    </row>
    <row r="185" spans="3:3" s="24" customFormat="1">
      <c r="C185" s="25"/>
    </row>
    <row r="186" spans="3:3" s="24" customFormat="1">
      <c r="C186" s="25"/>
    </row>
    <row r="187" spans="3:3" s="24" customFormat="1">
      <c r="C187" s="25"/>
    </row>
    <row r="188" spans="3:3" s="24" customFormat="1">
      <c r="C188" s="25"/>
    </row>
    <row r="189" spans="3:3" s="24" customFormat="1">
      <c r="C189" s="25"/>
    </row>
    <row r="190" spans="3:3" s="24" customFormat="1">
      <c r="C190" s="25"/>
    </row>
    <row r="191" spans="3:3" s="24" customFormat="1">
      <c r="C191" s="25"/>
    </row>
    <row r="192" spans="3:3" s="24" customFormat="1">
      <c r="C192" s="25"/>
    </row>
    <row r="193" spans="3:3" s="24" customFormat="1">
      <c r="C193" s="25"/>
    </row>
    <row r="194" spans="3:3" s="24" customFormat="1">
      <c r="C194" s="25"/>
    </row>
    <row r="195" spans="3:3" s="24" customFormat="1">
      <c r="C195" s="25"/>
    </row>
    <row r="196" spans="3:3" s="24" customFormat="1">
      <c r="C196" s="25"/>
    </row>
    <row r="197" spans="3:3" s="24" customFormat="1">
      <c r="C197" s="25"/>
    </row>
    <row r="198" spans="3:3" s="24" customFormat="1">
      <c r="C198" s="25"/>
    </row>
    <row r="199" spans="3:3" s="24" customFormat="1">
      <c r="C199" s="25"/>
    </row>
    <row r="200" spans="3:3" s="24" customFormat="1">
      <c r="C200" s="25"/>
    </row>
    <row r="201" spans="3:3" s="24" customFormat="1">
      <c r="C201" s="25"/>
    </row>
    <row r="202" spans="3:3" s="24" customFormat="1">
      <c r="C202" s="25"/>
    </row>
    <row r="203" spans="3:3" s="24" customFormat="1">
      <c r="C203" s="25"/>
    </row>
    <row r="204" spans="3:3" s="24" customFormat="1">
      <c r="C204" s="25"/>
    </row>
    <row r="205" spans="3:3" s="24" customFormat="1">
      <c r="C205" s="25"/>
    </row>
    <row r="206" spans="3:3" s="24" customFormat="1">
      <c r="C206" s="25"/>
    </row>
    <row r="207" spans="3:3" s="24" customFormat="1">
      <c r="C207" s="25"/>
    </row>
    <row r="208" spans="3:3" s="24" customFormat="1">
      <c r="C208" s="25"/>
    </row>
    <row r="209" spans="3:3" s="24" customFormat="1">
      <c r="C209" s="25"/>
    </row>
    <row r="210" spans="3:3" s="24" customFormat="1">
      <c r="C210" s="25"/>
    </row>
    <row r="211" spans="3:3" s="24" customFormat="1">
      <c r="C211" s="25"/>
    </row>
    <row r="212" spans="3:3" s="24" customFormat="1">
      <c r="C212" s="25"/>
    </row>
    <row r="213" spans="3:3" s="24" customFormat="1">
      <c r="C213" s="25"/>
    </row>
    <row r="214" spans="3:3" s="24" customFormat="1">
      <c r="C214" s="25"/>
    </row>
    <row r="215" spans="3:3" s="24" customFormat="1">
      <c r="C215" s="25"/>
    </row>
    <row r="216" spans="3:3" s="24" customFormat="1">
      <c r="C216" s="25"/>
    </row>
    <row r="217" spans="3:3" s="24" customFormat="1">
      <c r="C217" s="25"/>
    </row>
    <row r="218" spans="3:3" s="24" customFormat="1">
      <c r="C218" s="25"/>
    </row>
    <row r="219" spans="3:3" s="24" customFormat="1">
      <c r="C219" s="25"/>
    </row>
    <row r="220" spans="3:3" s="24" customFormat="1">
      <c r="C220" s="25"/>
    </row>
    <row r="221" spans="3:3" s="24" customFormat="1">
      <c r="C221" s="25"/>
    </row>
    <row r="222" spans="3:3" s="24" customFormat="1">
      <c r="C222" s="25"/>
    </row>
    <row r="223" spans="3:3" s="24" customFormat="1">
      <c r="C223" s="25"/>
    </row>
    <row r="224" spans="3:3" s="24" customFormat="1">
      <c r="C224" s="25"/>
    </row>
    <row r="225" spans="3:3" s="24" customFormat="1">
      <c r="C225" s="25"/>
    </row>
    <row r="226" spans="3:3" s="24" customFormat="1">
      <c r="C226" s="25"/>
    </row>
    <row r="227" spans="3:3" s="24" customFormat="1">
      <c r="C227" s="25"/>
    </row>
    <row r="228" spans="3:3" s="24" customFormat="1">
      <c r="C228" s="25"/>
    </row>
    <row r="229" spans="3:3" s="24" customFormat="1">
      <c r="C229" s="25"/>
    </row>
    <row r="230" spans="3:3" s="24" customFormat="1">
      <c r="C230" s="25"/>
    </row>
    <row r="231" spans="3:3" s="24" customFormat="1">
      <c r="C231" s="25"/>
    </row>
    <row r="232" spans="3:3" s="24" customFormat="1">
      <c r="C232" s="25"/>
    </row>
    <row r="233" spans="3:3" s="24" customFormat="1">
      <c r="C233" s="25"/>
    </row>
    <row r="234" spans="3:3" s="24" customFormat="1">
      <c r="C234" s="25"/>
    </row>
    <row r="235" spans="3:3" s="24" customFormat="1">
      <c r="C235" s="25"/>
    </row>
    <row r="236" spans="3:3" s="24" customFormat="1">
      <c r="C236" s="25"/>
    </row>
    <row r="237" spans="3:3" s="24" customFormat="1">
      <c r="C237" s="25"/>
    </row>
    <row r="238" spans="3:3" s="24" customFormat="1">
      <c r="C238" s="25"/>
    </row>
    <row r="239" spans="3:3" s="24" customFormat="1">
      <c r="C239" s="25"/>
    </row>
    <row r="240" spans="3:3" s="24" customFormat="1">
      <c r="C240" s="25"/>
    </row>
    <row r="241" spans="3:3" s="24" customFormat="1">
      <c r="C241" s="25"/>
    </row>
    <row r="242" spans="3:3" s="24" customFormat="1">
      <c r="C242" s="25"/>
    </row>
    <row r="243" spans="3:3" s="24" customFormat="1">
      <c r="C243" s="25"/>
    </row>
    <row r="244" spans="3:3" s="24" customFormat="1">
      <c r="C244" s="25"/>
    </row>
    <row r="245" spans="3:3" s="24" customFormat="1">
      <c r="C245" s="25"/>
    </row>
    <row r="246" spans="3:3" s="24" customFormat="1">
      <c r="C246" s="25"/>
    </row>
    <row r="247" spans="3:3" s="24" customFormat="1">
      <c r="C247" s="25"/>
    </row>
    <row r="248" spans="3:3" s="24" customFormat="1">
      <c r="C248" s="25"/>
    </row>
    <row r="249" spans="3:3" s="24" customFormat="1">
      <c r="C249" s="25"/>
    </row>
    <row r="250" spans="3:3" s="24" customFormat="1">
      <c r="C250" s="25"/>
    </row>
    <row r="251" spans="3:3" s="24" customFormat="1">
      <c r="C251" s="25"/>
    </row>
    <row r="252" spans="3:3" s="24" customFormat="1">
      <c r="C252" s="25"/>
    </row>
    <row r="253" spans="3:3" s="24" customFormat="1">
      <c r="C253" s="25"/>
    </row>
    <row r="254" spans="3:3" s="24" customFormat="1">
      <c r="C254" s="25"/>
    </row>
    <row r="255" spans="3:3" s="24" customFormat="1">
      <c r="C255" s="25"/>
    </row>
    <row r="256" spans="3:3" s="24" customFormat="1">
      <c r="C256" s="25"/>
    </row>
    <row r="257" spans="3:3" s="24" customFormat="1">
      <c r="C257" s="25"/>
    </row>
    <row r="258" spans="3:3" s="24" customFormat="1">
      <c r="C258" s="25"/>
    </row>
    <row r="259" spans="3:3" s="24" customFormat="1">
      <c r="C259" s="25"/>
    </row>
    <row r="260" spans="3:3" s="24" customFormat="1">
      <c r="C260" s="25"/>
    </row>
    <row r="261" spans="3:3" s="24" customFormat="1">
      <c r="C261" s="25"/>
    </row>
    <row r="262" spans="3:3" s="24" customFormat="1">
      <c r="C262" s="25"/>
    </row>
    <row r="263" spans="3:3" s="24" customFormat="1">
      <c r="C263" s="25"/>
    </row>
    <row r="264" spans="3:3" s="24" customFormat="1">
      <c r="C264" s="25"/>
    </row>
    <row r="265" spans="3:3" s="24" customFormat="1">
      <c r="C265" s="25"/>
    </row>
    <row r="266" spans="3:3" s="24" customFormat="1">
      <c r="C266" s="25"/>
    </row>
    <row r="267" spans="3:3" s="24" customFormat="1">
      <c r="C267" s="25"/>
    </row>
    <row r="268" spans="3:3" s="24" customFormat="1">
      <c r="C268" s="25"/>
    </row>
    <row r="269" spans="3:3" s="24" customFormat="1">
      <c r="C269" s="25"/>
    </row>
    <row r="270" spans="3:3" s="24" customFormat="1">
      <c r="C270" s="25"/>
    </row>
    <row r="271" spans="3:3" s="24" customFormat="1">
      <c r="C271" s="25"/>
    </row>
    <row r="272" spans="3:3" s="24" customFormat="1">
      <c r="C272" s="25"/>
    </row>
    <row r="273" spans="3:3" s="24" customFormat="1">
      <c r="C273" s="25"/>
    </row>
    <row r="274" spans="3:3" s="24" customFormat="1">
      <c r="C274" s="25"/>
    </row>
    <row r="275" spans="3:3" s="24" customFormat="1">
      <c r="C275" s="25"/>
    </row>
    <row r="276" spans="3:3" s="24" customFormat="1">
      <c r="C276" s="25"/>
    </row>
    <row r="277" spans="3:3" s="24" customFormat="1">
      <c r="C277" s="25"/>
    </row>
    <row r="278" spans="3:3" s="24" customFormat="1">
      <c r="C278" s="25"/>
    </row>
    <row r="279" spans="3:3" s="24" customFormat="1">
      <c r="C279" s="25"/>
    </row>
    <row r="280" spans="3:3" s="24" customFormat="1">
      <c r="C280" s="25"/>
    </row>
    <row r="281" spans="3:3" s="24" customFormat="1">
      <c r="C281" s="25"/>
    </row>
    <row r="282" spans="3:3" s="24" customFormat="1">
      <c r="C282" s="25"/>
    </row>
    <row r="283" spans="3:3" s="24" customFormat="1">
      <c r="C283" s="25"/>
    </row>
    <row r="284" spans="3:3" s="24" customFormat="1">
      <c r="C284" s="25"/>
    </row>
    <row r="285" spans="3:3" s="24" customFormat="1">
      <c r="C285" s="25"/>
    </row>
    <row r="286" spans="3:3" s="24" customFormat="1">
      <c r="C286" s="25"/>
    </row>
    <row r="287" spans="3:3" s="24" customFormat="1">
      <c r="C287" s="25"/>
    </row>
    <row r="288" spans="3:3" s="24" customFormat="1">
      <c r="C288" s="25"/>
    </row>
    <row r="289" spans="3:3" s="24" customFormat="1">
      <c r="C289" s="25"/>
    </row>
    <row r="290" spans="3:3" s="24" customFormat="1">
      <c r="C290" s="25"/>
    </row>
    <row r="291" spans="3:3" s="24" customFormat="1">
      <c r="C291" s="25"/>
    </row>
    <row r="292" spans="3:3" s="24" customFormat="1">
      <c r="C292" s="25"/>
    </row>
    <row r="293" spans="3:3" s="24" customFormat="1">
      <c r="C293" s="25"/>
    </row>
    <row r="294" spans="3:3" s="24" customFormat="1">
      <c r="C294" s="25"/>
    </row>
    <row r="295" spans="3:3" s="24" customFormat="1">
      <c r="C295" s="25"/>
    </row>
    <row r="296" spans="3:3" s="24" customFormat="1">
      <c r="C296" s="25"/>
    </row>
    <row r="297" spans="3:3" s="24" customFormat="1">
      <c r="C297" s="25"/>
    </row>
    <row r="298" spans="3:3" s="24" customFormat="1">
      <c r="C298" s="25"/>
    </row>
    <row r="299" spans="3:3" s="24" customFormat="1">
      <c r="C299" s="25"/>
    </row>
    <row r="300" spans="3:3" s="24" customFormat="1">
      <c r="C300" s="25"/>
    </row>
    <row r="301" spans="3:3" s="24" customFormat="1">
      <c r="C301" s="25"/>
    </row>
    <row r="302" spans="3:3" s="24" customFormat="1">
      <c r="C302" s="25"/>
    </row>
    <row r="303" spans="3:3" s="24" customFormat="1">
      <c r="C303" s="25"/>
    </row>
    <row r="304" spans="3:3" s="24" customFormat="1">
      <c r="C304" s="25"/>
    </row>
    <row r="305" spans="3:3" s="24" customFormat="1">
      <c r="C305" s="25"/>
    </row>
    <row r="306" spans="3:3" s="24" customFormat="1">
      <c r="C306" s="25"/>
    </row>
    <row r="307" spans="3:3" s="24" customFormat="1">
      <c r="C307" s="25"/>
    </row>
    <row r="308" spans="3:3" s="24" customFormat="1">
      <c r="C308" s="25"/>
    </row>
    <row r="309" spans="3:3" s="24" customFormat="1">
      <c r="C309" s="25"/>
    </row>
    <row r="310" spans="3:3" s="24" customFormat="1">
      <c r="C310" s="25"/>
    </row>
    <row r="311" spans="3:3" s="24" customFormat="1">
      <c r="C311" s="25"/>
    </row>
    <row r="312" spans="3:3" s="24" customFormat="1">
      <c r="C312" s="25"/>
    </row>
    <row r="313" spans="3:3" s="24" customFormat="1">
      <c r="C313" s="25"/>
    </row>
    <row r="314" spans="3:3" s="24" customFormat="1">
      <c r="C314" s="25"/>
    </row>
    <row r="315" spans="3:3" s="24" customFormat="1">
      <c r="C315" s="25"/>
    </row>
    <row r="316" spans="3:3" s="24" customFormat="1">
      <c r="C316" s="25"/>
    </row>
    <row r="317" spans="3:3" s="24" customFormat="1">
      <c r="C317" s="25"/>
    </row>
    <row r="318" spans="3:3" s="24" customFormat="1">
      <c r="C318" s="25"/>
    </row>
    <row r="319" spans="3:3" s="24" customFormat="1">
      <c r="C319" s="25"/>
    </row>
    <row r="320" spans="3:3" s="24" customFormat="1">
      <c r="C320" s="25"/>
    </row>
    <row r="321" spans="3:3" s="24" customFormat="1">
      <c r="C321" s="25"/>
    </row>
    <row r="322" spans="3:3" s="24" customFormat="1">
      <c r="C322" s="25"/>
    </row>
    <row r="323" spans="3:3" s="24" customFormat="1">
      <c r="C323" s="25"/>
    </row>
    <row r="324" spans="3:3" s="24" customFormat="1">
      <c r="C324" s="25"/>
    </row>
    <row r="325" spans="3:3" s="24" customFormat="1">
      <c r="C325" s="25"/>
    </row>
    <row r="326" spans="3:3" s="24" customFormat="1">
      <c r="C326" s="25"/>
    </row>
    <row r="327" spans="3:3" s="24" customFormat="1">
      <c r="C327" s="25"/>
    </row>
    <row r="328" spans="3:3" s="24" customFormat="1">
      <c r="C328" s="25"/>
    </row>
    <row r="329" spans="3:3" s="24" customFormat="1">
      <c r="C329" s="25"/>
    </row>
    <row r="330" spans="3:3" s="24" customFormat="1">
      <c r="C330" s="25"/>
    </row>
    <row r="331" spans="3:3" s="24" customFormat="1">
      <c r="C331" s="25"/>
    </row>
    <row r="332" spans="3:3" s="24" customFormat="1">
      <c r="C332" s="25"/>
    </row>
    <row r="333" spans="3:3" s="24" customFormat="1">
      <c r="C333" s="25"/>
    </row>
    <row r="334" spans="3:3" s="24" customFormat="1">
      <c r="C334" s="25"/>
    </row>
    <row r="335" spans="3:3" s="24" customFormat="1">
      <c r="C335" s="25"/>
    </row>
    <row r="336" spans="3:3" s="24" customFormat="1">
      <c r="C336" s="25"/>
    </row>
    <row r="337" spans="3:3" s="24" customFormat="1">
      <c r="C337" s="25"/>
    </row>
    <row r="338" spans="3:3" s="24" customFormat="1">
      <c r="C338" s="25"/>
    </row>
    <row r="339" spans="3:3" s="24" customFormat="1">
      <c r="C339" s="25"/>
    </row>
    <row r="340" spans="3:3" s="24" customFormat="1">
      <c r="C340" s="25"/>
    </row>
    <row r="341" spans="3:3" s="24" customFormat="1">
      <c r="C341" s="25"/>
    </row>
    <row r="342" spans="3:3" s="24" customFormat="1">
      <c r="C342" s="25"/>
    </row>
    <row r="343" spans="3:3" s="24" customFormat="1">
      <c r="C343" s="25"/>
    </row>
    <row r="344" spans="3:3" s="24" customFormat="1">
      <c r="C344" s="25"/>
    </row>
    <row r="345" spans="3:3" s="24" customFormat="1">
      <c r="C345" s="25"/>
    </row>
    <row r="346" spans="3:3" s="24" customFormat="1">
      <c r="C346" s="25"/>
    </row>
    <row r="347" spans="3:3" s="24" customFormat="1">
      <c r="C347" s="25"/>
    </row>
    <row r="348" spans="3:3" s="24" customFormat="1">
      <c r="C348" s="25"/>
    </row>
    <row r="349" spans="3:3" s="24" customFormat="1">
      <c r="C349" s="25"/>
    </row>
    <row r="350" spans="3:3" s="24" customFormat="1">
      <c r="C350" s="25"/>
    </row>
    <row r="351" spans="3:3" s="24" customFormat="1">
      <c r="C351" s="25"/>
    </row>
    <row r="352" spans="3:3" s="24" customFormat="1">
      <c r="C352" s="25"/>
    </row>
    <row r="353" spans="3:3" s="24" customFormat="1">
      <c r="C353" s="25"/>
    </row>
    <row r="354" spans="3:3" s="24" customFormat="1">
      <c r="C354" s="25"/>
    </row>
    <row r="355" spans="3:3" s="24" customFormat="1">
      <c r="C355" s="25"/>
    </row>
    <row r="356" spans="3:3" s="24" customFormat="1">
      <c r="C356" s="25"/>
    </row>
    <row r="357" spans="3:3" s="24" customFormat="1">
      <c r="C357" s="25"/>
    </row>
    <row r="358" spans="3:3" s="24" customFormat="1">
      <c r="C358" s="25"/>
    </row>
    <row r="359" spans="3:3" s="24" customFormat="1">
      <c r="C359" s="25"/>
    </row>
    <row r="360" spans="3:3" s="24" customFormat="1">
      <c r="C360" s="25"/>
    </row>
    <row r="361" spans="3:3" s="24" customFormat="1">
      <c r="C361" s="25"/>
    </row>
    <row r="362" spans="3:3" s="24" customFormat="1">
      <c r="C362" s="25"/>
    </row>
    <row r="363" spans="3:3" s="24" customFormat="1">
      <c r="C363" s="25"/>
    </row>
    <row r="364" spans="3:3" s="24" customFormat="1">
      <c r="C364" s="25"/>
    </row>
    <row r="365" spans="3:3" s="24" customFormat="1">
      <c r="C365" s="25"/>
    </row>
    <row r="366" spans="3:3" s="24" customFormat="1">
      <c r="C366" s="25"/>
    </row>
    <row r="367" spans="3:3" s="24" customFormat="1">
      <c r="C367" s="25"/>
    </row>
    <row r="368" spans="3:3" s="24" customFormat="1">
      <c r="C368" s="25"/>
    </row>
    <row r="369" spans="3:3" s="24" customFormat="1">
      <c r="C369" s="25"/>
    </row>
    <row r="370" spans="3:3" s="24" customFormat="1">
      <c r="C370" s="25"/>
    </row>
    <row r="371" spans="3:3" s="24" customFormat="1">
      <c r="C371" s="25"/>
    </row>
    <row r="372" spans="3:3" s="24" customFormat="1">
      <c r="C372" s="25"/>
    </row>
    <row r="373" spans="3:3" s="24" customFormat="1">
      <c r="C373" s="25"/>
    </row>
    <row r="374" spans="3:3" s="24" customFormat="1">
      <c r="C374" s="25"/>
    </row>
    <row r="375" spans="3:3" s="24" customFormat="1">
      <c r="C375" s="25"/>
    </row>
    <row r="376" spans="3:3" s="24" customFormat="1">
      <c r="C376" s="25"/>
    </row>
    <row r="377" spans="3:3" s="24" customFormat="1">
      <c r="C377" s="25"/>
    </row>
    <row r="378" spans="3:3" s="24" customFormat="1">
      <c r="C378" s="25"/>
    </row>
    <row r="379" spans="3:3" s="24" customFormat="1">
      <c r="C379" s="25"/>
    </row>
    <row r="380" spans="3:3" s="24" customFormat="1">
      <c r="C380" s="25"/>
    </row>
    <row r="381" spans="3:3" s="24" customFormat="1">
      <c r="C381" s="25"/>
    </row>
    <row r="382" spans="3:3" s="24" customFormat="1">
      <c r="C382" s="25"/>
    </row>
    <row r="383" spans="3:3" s="24" customFormat="1">
      <c r="C383" s="25"/>
    </row>
    <row r="384" spans="3:3" s="24" customFormat="1">
      <c r="C384" s="25"/>
    </row>
    <row r="385" spans="3:3" s="24" customFormat="1">
      <c r="C385" s="25"/>
    </row>
    <row r="386" spans="3:3" s="24" customFormat="1">
      <c r="C386" s="25"/>
    </row>
    <row r="387" spans="3:3" s="24" customFormat="1">
      <c r="C387" s="25"/>
    </row>
    <row r="388" spans="3:3" s="24" customFormat="1">
      <c r="C388" s="25"/>
    </row>
    <row r="389" spans="3:3" s="24" customFormat="1">
      <c r="C389" s="25"/>
    </row>
    <row r="390" spans="3:3" s="24" customFormat="1">
      <c r="C390" s="25"/>
    </row>
    <row r="391" spans="3:3" s="24" customFormat="1">
      <c r="C391" s="25"/>
    </row>
    <row r="392" spans="3:3" s="24" customFormat="1">
      <c r="C392" s="25"/>
    </row>
    <row r="393" spans="3:3" s="24" customFormat="1">
      <c r="C393" s="25"/>
    </row>
    <row r="394" spans="3:3" s="24" customFormat="1">
      <c r="C394" s="25"/>
    </row>
    <row r="395" spans="3:3" s="24" customFormat="1">
      <c r="C395" s="25"/>
    </row>
    <row r="396" spans="3:3" s="24" customFormat="1">
      <c r="C396" s="25"/>
    </row>
    <row r="397" spans="3:3" s="24" customFormat="1">
      <c r="C397" s="25"/>
    </row>
    <row r="398" spans="3:3" s="24" customFormat="1">
      <c r="C398" s="25"/>
    </row>
    <row r="399" spans="3:3" s="24" customFormat="1">
      <c r="C399" s="25"/>
    </row>
    <row r="400" spans="3:3" s="24" customFormat="1">
      <c r="C400" s="25"/>
    </row>
    <row r="401" spans="3:3" s="24" customFormat="1">
      <c r="C401" s="25"/>
    </row>
    <row r="402" spans="3:3" s="24" customFormat="1">
      <c r="C402" s="25"/>
    </row>
    <row r="403" spans="3:3" s="24" customFormat="1">
      <c r="C403" s="25"/>
    </row>
    <row r="404" spans="3:3" s="24" customFormat="1">
      <c r="C404" s="25"/>
    </row>
    <row r="405" spans="3:3" s="24" customFormat="1">
      <c r="C405" s="25"/>
    </row>
    <row r="406" spans="3:3" s="24" customFormat="1">
      <c r="C406" s="25"/>
    </row>
    <row r="407" spans="3:3" s="24" customFormat="1">
      <c r="C407" s="25"/>
    </row>
    <row r="408" spans="3:3" s="24" customFormat="1">
      <c r="C408" s="25"/>
    </row>
    <row r="409" spans="3:3" s="24" customFormat="1">
      <c r="C409" s="25"/>
    </row>
    <row r="410" spans="3:3" s="24" customFormat="1">
      <c r="C410" s="25"/>
    </row>
    <row r="411" spans="3:3" s="24" customFormat="1">
      <c r="C411" s="25"/>
    </row>
    <row r="412" spans="3:3" s="24" customFormat="1">
      <c r="C412" s="25"/>
    </row>
    <row r="413" spans="3:3" s="24" customFormat="1">
      <c r="C413" s="25"/>
    </row>
    <row r="414" spans="3:3" s="24" customFormat="1">
      <c r="C414" s="25"/>
    </row>
    <row r="415" spans="3:3" s="24" customFormat="1">
      <c r="C415" s="25"/>
    </row>
    <row r="416" spans="3:3" s="24" customFormat="1">
      <c r="C416" s="25"/>
    </row>
    <row r="417" spans="3:3" s="24" customFormat="1">
      <c r="C417" s="25"/>
    </row>
    <row r="418" spans="3:3" s="24" customFormat="1">
      <c r="C418" s="25"/>
    </row>
    <row r="419" spans="3:3" s="24" customFormat="1">
      <c r="C419" s="25"/>
    </row>
    <row r="420" spans="3:3" s="24" customFormat="1">
      <c r="C420" s="25"/>
    </row>
    <row r="421" spans="3:3" s="24" customFormat="1">
      <c r="C421" s="25"/>
    </row>
    <row r="422" spans="3:3" s="24" customFormat="1">
      <c r="C422" s="25"/>
    </row>
    <row r="423" spans="3:3" s="24" customFormat="1">
      <c r="C423" s="25"/>
    </row>
    <row r="424" spans="3:3" s="24" customFormat="1">
      <c r="C424" s="25"/>
    </row>
    <row r="425" spans="3:3" s="24" customFormat="1">
      <c r="C425" s="25"/>
    </row>
    <row r="426" spans="3:3" s="24" customFormat="1">
      <c r="C426" s="25"/>
    </row>
    <row r="427" spans="3:3" s="24" customFormat="1">
      <c r="C427" s="25"/>
    </row>
    <row r="428" spans="3:3" s="24" customFormat="1">
      <c r="C428" s="25"/>
    </row>
    <row r="429" spans="3:3" s="24" customFormat="1">
      <c r="C429" s="25"/>
    </row>
    <row r="430" spans="3:3" s="24" customFormat="1">
      <c r="C430" s="25"/>
    </row>
    <row r="431" spans="3:3" s="24" customFormat="1">
      <c r="C431" s="25"/>
    </row>
    <row r="432" spans="3:3" s="24" customFormat="1">
      <c r="C432" s="25"/>
    </row>
    <row r="433" spans="3:3" s="24" customFormat="1">
      <c r="C433" s="25"/>
    </row>
    <row r="434" spans="3:3" s="24" customFormat="1">
      <c r="C434" s="25"/>
    </row>
    <row r="435" spans="3:3" s="24" customFormat="1">
      <c r="C435" s="25"/>
    </row>
    <row r="436" spans="3:3" s="24" customFormat="1">
      <c r="C436" s="25"/>
    </row>
    <row r="437" spans="3:3" s="24" customFormat="1">
      <c r="C437" s="25"/>
    </row>
    <row r="438" spans="3:3" s="24" customFormat="1">
      <c r="C438" s="25"/>
    </row>
    <row r="439" spans="3:3" s="24" customFormat="1">
      <c r="C439" s="25"/>
    </row>
    <row r="440" spans="3:3" s="24" customFormat="1">
      <c r="C440" s="25"/>
    </row>
    <row r="441" spans="3:3" s="24" customFormat="1">
      <c r="C441" s="25"/>
    </row>
    <row r="442" spans="3:3" s="24" customFormat="1">
      <c r="C442" s="25"/>
    </row>
    <row r="443" spans="3:3" s="24" customFormat="1">
      <c r="C443" s="25"/>
    </row>
    <row r="444" spans="3:3" s="24" customFormat="1">
      <c r="C444" s="25"/>
    </row>
    <row r="445" spans="3:3" s="24" customFormat="1">
      <c r="C445" s="25"/>
    </row>
    <row r="446" spans="3:3" s="24" customFormat="1">
      <c r="C446" s="25"/>
    </row>
    <row r="447" spans="3:3" s="24" customFormat="1">
      <c r="C447" s="25"/>
    </row>
    <row r="448" spans="3:3" s="24" customFormat="1">
      <c r="C448" s="25"/>
    </row>
    <row r="449" spans="3:3" s="24" customFormat="1">
      <c r="C449" s="25"/>
    </row>
    <row r="450" spans="3:3" s="24" customFormat="1">
      <c r="C450" s="25"/>
    </row>
    <row r="451" spans="3:3" s="24" customFormat="1">
      <c r="C451" s="25"/>
    </row>
    <row r="452" spans="3:3" s="24" customFormat="1">
      <c r="C452" s="25"/>
    </row>
    <row r="453" spans="3:3" s="24" customFormat="1">
      <c r="C453" s="25"/>
    </row>
    <row r="454" spans="3:3" s="24" customFormat="1">
      <c r="C454" s="25"/>
    </row>
    <row r="455" spans="3:3" s="24" customFormat="1">
      <c r="C455" s="25"/>
    </row>
    <row r="456" spans="3:3" s="24" customFormat="1">
      <c r="C456" s="25"/>
    </row>
    <row r="457" spans="3:3" s="24" customFormat="1">
      <c r="C457" s="25"/>
    </row>
    <row r="458" spans="3:3" s="24" customFormat="1">
      <c r="C458" s="25"/>
    </row>
    <row r="459" spans="3:3" s="24" customFormat="1">
      <c r="C459" s="25"/>
    </row>
    <row r="460" spans="3:3" s="24" customFormat="1">
      <c r="C460" s="25"/>
    </row>
    <row r="461" spans="3:3" s="24" customFormat="1">
      <c r="C461" s="25"/>
    </row>
    <row r="462" spans="3:3" s="24" customFormat="1">
      <c r="C462" s="25"/>
    </row>
    <row r="463" spans="3:3" s="24" customFormat="1">
      <c r="C463" s="25"/>
    </row>
    <row r="464" spans="3:3" s="24" customFormat="1">
      <c r="C464" s="25"/>
    </row>
    <row r="465" spans="3:3" s="24" customFormat="1">
      <c r="C465" s="25"/>
    </row>
    <row r="466" spans="3:3" s="24" customFormat="1">
      <c r="C466" s="25"/>
    </row>
    <row r="467" spans="3:3" s="24" customFormat="1">
      <c r="C467" s="25"/>
    </row>
    <row r="468" spans="3:3" s="24" customFormat="1">
      <c r="C468" s="25"/>
    </row>
    <row r="469" spans="3:3" s="24" customFormat="1">
      <c r="C469" s="25"/>
    </row>
    <row r="470" spans="3:3" s="24" customFormat="1">
      <c r="C470" s="25"/>
    </row>
    <row r="471" spans="3:3" s="24" customFormat="1">
      <c r="C471" s="25"/>
    </row>
    <row r="472" spans="3:3" s="24" customFormat="1">
      <c r="C472" s="25"/>
    </row>
    <row r="473" spans="3:3" s="24" customFormat="1">
      <c r="C473" s="25"/>
    </row>
    <row r="474" spans="3:3" s="24" customFormat="1">
      <c r="C474" s="25"/>
    </row>
    <row r="475" spans="3:3" s="24" customFormat="1">
      <c r="C475" s="25"/>
    </row>
    <row r="476" spans="3:3" s="24" customFormat="1">
      <c r="C476" s="25"/>
    </row>
    <row r="477" spans="3:3" s="24" customFormat="1">
      <c r="C477" s="25"/>
    </row>
    <row r="478" spans="3:3" s="24" customFormat="1">
      <c r="C478" s="25"/>
    </row>
    <row r="479" spans="3:3" s="24" customFormat="1">
      <c r="C479" s="25"/>
    </row>
    <row r="480" spans="3:3" s="24" customFormat="1">
      <c r="C480" s="25"/>
    </row>
    <row r="481" spans="3:3" s="24" customFormat="1">
      <c r="C481" s="25"/>
    </row>
    <row r="482" spans="3:3" s="24" customFormat="1">
      <c r="C482" s="25"/>
    </row>
    <row r="483" spans="3:3" s="24" customFormat="1">
      <c r="C483" s="25"/>
    </row>
    <row r="484" spans="3:3" s="24" customFormat="1">
      <c r="C484" s="25"/>
    </row>
    <row r="485" spans="3:3" s="24" customFormat="1">
      <c r="C485" s="25"/>
    </row>
    <row r="486" spans="3:3" s="24" customFormat="1">
      <c r="C486" s="25"/>
    </row>
    <row r="487" spans="3:3" s="24" customFormat="1">
      <c r="C487" s="25"/>
    </row>
    <row r="488" spans="3:3" s="24" customFormat="1">
      <c r="C488" s="25"/>
    </row>
    <row r="489" spans="3:3" s="24" customFormat="1">
      <c r="C489" s="25"/>
    </row>
    <row r="490" spans="3:3" s="24" customFormat="1">
      <c r="C490" s="25"/>
    </row>
    <row r="491" spans="3:3" s="24" customFormat="1">
      <c r="C491" s="25"/>
    </row>
    <row r="492" spans="3:3" s="24" customFormat="1">
      <c r="C492" s="25"/>
    </row>
    <row r="493" spans="3:3" s="24" customFormat="1">
      <c r="C493" s="25"/>
    </row>
    <row r="494" spans="3:3" s="24" customFormat="1">
      <c r="C494" s="25"/>
    </row>
    <row r="495" spans="3:3" s="24" customFormat="1">
      <c r="C495" s="25"/>
    </row>
    <row r="496" spans="3:3" s="24" customFormat="1">
      <c r="C496" s="25"/>
    </row>
    <row r="497" spans="3:3" s="24" customFormat="1">
      <c r="C497" s="25"/>
    </row>
    <row r="498" spans="3:3" s="24" customFormat="1">
      <c r="C498" s="25"/>
    </row>
    <row r="499" spans="3:3" s="24" customFormat="1">
      <c r="C499" s="25"/>
    </row>
    <row r="500" spans="3:3" s="24" customFormat="1">
      <c r="C500" s="25"/>
    </row>
    <row r="501" spans="3:3" s="24" customFormat="1">
      <c r="C501" s="25"/>
    </row>
    <row r="502" spans="3:3" s="24" customFormat="1">
      <c r="C502" s="25"/>
    </row>
    <row r="503" spans="3:3" s="24" customFormat="1">
      <c r="C503" s="25"/>
    </row>
    <row r="504" spans="3:3" s="24" customFormat="1">
      <c r="C504" s="25"/>
    </row>
    <row r="505" spans="3:3" s="24" customFormat="1">
      <c r="C505" s="25"/>
    </row>
    <row r="506" spans="3:3" s="24" customFormat="1">
      <c r="C506" s="25"/>
    </row>
    <row r="507" spans="3:3" s="24" customFormat="1">
      <c r="C507" s="25"/>
    </row>
    <row r="508" spans="3:3" s="24" customFormat="1">
      <c r="C508" s="25"/>
    </row>
    <row r="509" spans="3:3" s="24" customFormat="1">
      <c r="C509" s="25"/>
    </row>
    <row r="510" spans="3:3" s="24" customFormat="1">
      <c r="C510" s="25"/>
    </row>
    <row r="511" spans="3:3" s="24" customFormat="1">
      <c r="C511" s="25"/>
    </row>
    <row r="512" spans="3:3" s="24" customFormat="1">
      <c r="C512" s="25"/>
    </row>
    <row r="513" spans="3:3" s="24" customFormat="1">
      <c r="C513" s="25"/>
    </row>
    <row r="514" spans="3:3" s="24" customFormat="1">
      <c r="C514" s="25"/>
    </row>
    <row r="515" spans="3:3" s="24" customFormat="1">
      <c r="C515" s="25"/>
    </row>
    <row r="516" spans="3:3" s="24" customFormat="1">
      <c r="C516" s="25"/>
    </row>
    <row r="517" spans="3:3" s="24" customFormat="1">
      <c r="C517" s="25"/>
    </row>
    <row r="518" spans="3:3" s="24" customFormat="1">
      <c r="C518" s="25"/>
    </row>
    <row r="519" spans="3:3" s="24" customFormat="1">
      <c r="C519" s="25"/>
    </row>
    <row r="520" spans="3:3" s="24" customFormat="1">
      <c r="C520" s="25"/>
    </row>
    <row r="521" spans="3:3" s="24" customFormat="1">
      <c r="C521" s="25"/>
    </row>
    <row r="522" spans="3:3" s="24" customFormat="1">
      <c r="C522" s="25"/>
    </row>
    <row r="523" spans="3:3" s="24" customFormat="1">
      <c r="C523" s="25"/>
    </row>
    <row r="524" spans="3:3" s="24" customFormat="1">
      <c r="C524" s="25"/>
    </row>
    <row r="525" spans="3:3" s="24" customFormat="1">
      <c r="C525" s="25"/>
    </row>
    <row r="526" spans="3:3" s="24" customFormat="1">
      <c r="C526" s="25"/>
    </row>
    <row r="527" spans="3:3" s="24" customFormat="1">
      <c r="C527" s="25"/>
    </row>
    <row r="528" spans="3:3" s="24" customFormat="1">
      <c r="C528" s="25"/>
    </row>
    <row r="529" spans="3:3" s="24" customFormat="1">
      <c r="C529" s="25"/>
    </row>
    <row r="530" spans="3:3" s="24" customFormat="1">
      <c r="C530" s="25"/>
    </row>
    <row r="531" spans="3:3" s="24" customFormat="1">
      <c r="C531" s="25"/>
    </row>
    <row r="532" spans="3:3" s="24" customFormat="1">
      <c r="C532" s="25"/>
    </row>
    <row r="533" spans="3:3" s="24" customFormat="1">
      <c r="C533" s="25"/>
    </row>
    <row r="534" spans="3:3" s="24" customFormat="1">
      <c r="C534" s="25"/>
    </row>
    <row r="535" spans="3:3" s="24" customFormat="1">
      <c r="C535" s="25"/>
    </row>
    <row r="536" spans="3:3" s="24" customFormat="1">
      <c r="C536" s="25"/>
    </row>
    <row r="537" spans="3:3" s="24" customFormat="1">
      <c r="C537" s="25"/>
    </row>
    <row r="538" spans="3:3" s="24" customFormat="1">
      <c r="C538" s="25"/>
    </row>
    <row r="539" spans="3:3" s="24" customFormat="1">
      <c r="C539" s="25"/>
    </row>
    <row r="540" spans="3:3" s="24" customFormat="1">
      <c r="C540" s="25"/>
    </row>
    <row r="541" spans="3:3" s="24" customFormat="1">
      <c r="C541" s="25"/>
    </row>
    <row r="542" spans="3:3" s="24" customFormat="1">
      <c r="C542" s="25"/>
    </row>
    <row r="543" spans="3:3" s="24" customFormat="1">
      <c r="C543" s="25"/>
    </row>
    <row r="544" spans="3:3" s="24" customFormat="1">
      <c r="C544" s="25"/>
    </row>
    <row r="545" spans="3:3" s="24" customFormat="1">
      <c r="C545" s="25"/>
    </row>
    <row r="546" spans="3:3" s="24" customFormat="1">
      <c r="C546" s="25"/>
    </row>
    <row r="547" spans="3:3" s="24" customFormat="1">
      <c r="C547" s="25"/>
    </row>
    <row r="548" spans="3:3" s="24" customFormat="1">
      <c r="C548" s="25"/>
    </row>
    <row r="549" spans="3:3" s="24" customFormat="1">
      <c r="C549" s="25"/>
    </row>
    <row r="550" spans="3:3" s="24" customFormat="1">
      <c r="C550" s="25"/>
    </row>
    <row r="551" spans="3:3" s="24" customFormat="1">
      <c r="C551" s="25"/>
    </row>
    <row r="552" spans="3:3" s="24" customFormat="1">
      <c r="C552" s="25"/>
    </row>
    <row r="553" spans="3:3" s="24" customFormat="1">
      <c r="C553" s="25"/>
    </row>
    <row r="554" spans="3:3" s="24" customFormat="1">
      <c r="C554" s="25"/>
    </row>
    <row r="555" spans="3:3" s="24" customFormat="1">
      <c r="C555" s="25"/>
    </row>
    <row r="556" spans="3:3" s="24" customFormat="1">
      <c r="C556" s="25"/>
    </row>
    <row r="557" spans="3:3" s="24" customFormat="1">
      <c r="C557" s="25"/>
    </row>
    <row r="558" spans="3:3" s="24" customFormat="1">
      <c r="C558" s="25"/>
    </row>
    <row r="559" spans="3:3" s="24" customFormat="1">
      <c r="C559" s="25"/>
    </row>
    <row r="560" spans="3:3" s="24" customFormat="1">
      <c r="C560" s="25"/>
    </row>
    <row r="561" spans="3:3" s="24" customFormat="1">
      <c r="C561" s="25"/>
    </row>
    <row r="562" spans="3:3" s="24" customFormat="1">
      <c r="C562" s="25"/>
    </row>
    <row r="563" spans="3:3" s="24" customFormat="1">
      <c r="C563" s="25"/>
    </row>
    <row r="564" spans="3:3" s="24" customFormat="1">
      <c r="C564" s="25"/>
    </row>
    <row r="565" spans="3:3" s="24" customFormat="1">
      <c r="C565" s="25"/>
    </row>
    <row r="566" spans="3:3" s="24" customFormat="1">
      <c r="C566" s="25"/>
    </row>
    <row r="567" spans="3:3" s="24" customFormat="1">
      <c r="C567" s="25"/>
    </row>
    <row r="568" spans="3:3" s="24" customFormat="1">
      <c r="C568" s="25"/>
    </row>
    <row r="569" spans="3:3" s="24" customFormat="1">
      <c r="C569" s="25"/>
    </row>
    <row r="570" spans="3:3" s="24" customFormat="1">
      <c r="C570" s="25"/>
    </row>
    <row r="571" spans="3:3" s="24" customFormat="1">
      <c r="C571" s="25"/>
    </row>
    <row r="572" spans="3:3" s="24" customFormat="1">
      <c r="C572" s="25"/>
    </row>
    <row r="573" spans="3:3" s="24" customFormat="1">
      <c r="C573" s="25"/>
    </row>
    <row r="574" spans="3:3" s="24" customFormat="1">
      <c r="C574" s="25"/>
    </row>
    <row r="575" spans="3:3" s="24" customFormat="1">
      <c r="C575" s="25"/>
    </row>
    <row r="576" spans="3:3" s="24" customFormat="1">
      <c r="C576" s="25"/>
    </row>
    <row r="577" spans="3:3" s="24" customFormat="1">
      <c r="C577" s="25"/>
    </row>
    <row r="578" spans="3:3" s="24" customFormat="1">
      <c r="C578" s="25"/>
    </row>
    <row r="579" spans="3:3" s="24" customFormat="1">
      <c r="C579" s="25"/>
    </row>
    <row r="580" spans="3:3" s="24" customFormat="1">
      <c r="C580" s="25"/>
    </row>
    <row r="581" spans="3:3" s="24" customFormat="1">
      <c r="C581" s="25"/>
    </row>
    <row r="582" spans="3:3" s="24" customFormat="1">
      <c r="C582" s="25"/>
    </row>
    <row r="583" spans="3:3" s="24" customFormat="1">
      <c r="C583" s="25"/>
    </row>
    <row r="584" spans="3:3" s="24" customFormat="1">
      <c r="C584" s="25"/>
    </row>
    <row r="585" spans="3:3" s="24" customFormat="1">
      <c r="C585" s="25"/>
    </row>
    <row r="586" spans="3:3" s="24" customFormat="1">
      <c r="C586" s="25"/>
    </row>
    <row r="587" spans="3:3" s="24" customFormat="1">
      <c r="C587" s="25"/>
    </row>
    <row r="588" spans="3:3" s="24" customFormat="1">
      <c r="C588" s="25"/>
    </row>
    <row r="589" spans="3:3" s="24" customFormat="1">
      <c r="C589" s="25"/>
    </row>
    <row r="590" spans="3:3" s="24" customFormat="1">
      <c r="C590" s="25"/>
    </row>
    <row r="591" spans="3:3" s="24" customFormat="1">
      <c r="C591" s="25"/>
    </row>
    <row r="592" spans="3:3" s="24" customFormat="1">
      <c r="C592" s="25"/>
    </row>
    <row r="593" spans="3:3" s="24" customFormat="1">
      <c r="C593" s="25"/>
    </row>
    <row r="594" spans="3:3" s="24" customFormat="1">
      <c r="C594" s="25"/>
    </row>
    <row r="595" spans="3:3" s="24" customFormat="1">
      <c r="C595" s="25"/>
    </row>
    <row r="596" spans="3:3" s="24" customFormat="1">
      <c r="C596" s="25"/>
    </row>
    <row r="597" spans="3:3" s="24" customFormat="1">
      <c r="C597" s="25"/>
    </row>
    <row r="598" spans="3:3" s="24" customFormat="1">
      <c r="C598" s="25"/>
    </row>
    <row r="599" spans="3:3" s="24" customFormat="1">
      <c r="C599" s="25"/>
    </row>
  </sheetData>
  <sheetProtection sheet="1" objects="1" scenarios="1"/>
  <mergeCells count="8">
    <mergeCell ref="E9:G9"/>
    <mergeCell ref="E10:G10"/>
    <mergeCell ref="E11:G11"/>
    <mergeCell ref="B3:E3"/>
    <mergeCell ref="E5:G5"/>
    <mergeCell ref="E6:G6"/>
    <mergeCell ref="E7:G7"/>
    <mergeCell ref="E8:G8"/>
  </mergeCells>
  <conditionalFormatting sqref="C7:C11">
    <cfRule type="containsText" dxfId="186" priority="1" operator="containsText" text="Verified">
      <formula>NOT(ISERROR(SEARCH("Verified",C7)))</formula>
    </cfRule>
    <cfRule type="containsText" dxfId="185" priority="2" operator="containsText" text="Not Complete">
      <formula>NOT(ISERROR(SEARCH("Not Complete",C7)))</formula>
    </cfRule>
  </conditionalFormatting>
  <dataValidations count="1">
    <dataValidation type="list" allowBlank="1" showInputMessage="1" showErrorMessage="1" sqref="C7:C11" xr:uid="{00000000-0002-0000-0000-000000000000}">
      <formula1>"Verified,Not Complete"</formula1>
    </dataValidation>
  </dataValidations>
  <pageMargins left="0.7" right="0.7" top="0.75" bottom="0.75" header="0.3" footer="0.3"/>
  <pageSetup paperSize="9" orientation="portrait" horizontalDpi="75" verticalDpi="7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N265"/>
  <sheetViews>
    <sheetView showZeros="0" zoomScale="130" zoomScaleNormal="130" zoomScalePageLayoutView="118" workbookViewId="0">
      <pane ySplit="3" topLeftCell="A4" activePane="bottomLeft" state="frozen"/>
      <selection pane="bottomLeft" activeCell="D8" sqref="D8"/>
    </sheetView>
  </sheetViews>
  <sheetFormatPr baseColWidth="10" defaultColWidth="8.83203125" defaultRowHeight="13"/>
  <cols>
    <col min="1" max="1" width="24.33203125" style="27" customWidth="1"/>
    <col min="2" max="2" width="42.83203125" style="27" customWidth="1"/>
    <col min="3" max="3" width="21.83203125" style="27" customWidth="1"/>
    <col min="4" max="5" width="6.33203125" style="27" customWidth="1"/>
    <col min="6" max="6" width="9.33203125" style="27" customWidth="1"/>
    <col min="7" max="7" width="6.83203125" style="27" customWidth="1"/>
    <col min="8" max="8" width="10.83203125" style="27" customWidth="1"/>
    <col min="9" max="9" width="9" style="27" customWidth="1"/>
    <col min="10" max="10" width="6" style="27" bestFit="1" customWidth="1"/>
    <col min="11" max="11" width="30.1640625" style="28" customWidth="1"/>
    <col min="12" max="12" width="34.83203125" style="28" customWidth="1"/>
    <col min="13" max="13" width="9.33203125" style="29" bestFit="1" customWidth="1"/>
    <col min="14" max="40" width="8.83203125" style="29"/>
    <col min="41" max="16384" width="8.83203125" style="27"/>
  </cols>
  <sheetData>
    <row r="1" spans="1:40" ht="48" customHeight="1"/>
    <row r="2" spans="1:40" s="29" customFormat="1" ht="2.25" customHeight="1">
      <c r="K2" s="34"/>
      <c r="L2" s="34"/>
    </row>
    <row r="3" spans="1:40" s="32" customFormat="1" ht="34.5" customHeight="1">
      <c r="A3" s="30" t="s">
        <v>31</v>
      </c>
      <c r="B3" s="30" t="s">
        <v>32</v>
      </c>
      <c r="C3" s="30" t="s">
        <v>33</v>
      </c>
      <c r="D3" s="30" t="s">
        <v>34</v>
      </c>
      <c r="E3" s="30" t="s">
        <v>35</v>
      </c>
      <c r="F3" s="30" t="s">
        <v>125</v>
      </c>
      <c r="G3" s="30"/>
      <c r="H3" s="30"/>
      <c r="I3" s="30"/>
      <c r="J3" s="30"/>
      <c r="K3" s="30" t="s">
        <v>37</v>
      </c>
      <c r="L3" s="30" t="s">
        <v>63</v>
      </c>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row>
    <row r="4" spans="1:40" s="70" customFormat="1" ht="16" customHeight="1">
      <c r="A4" s="292" t="s">
        <v>167</v>
      </c>
      <c r="B4" s="293"/>
      <c r="C4" s="33"/>
      <c r="D4" s="33"/>
      <c r="E4" s="33"/>
      <c r="F4" s="33"/>
      <c r="G4" s="33"/>
      <c r="H4" s="33"/>
      <c r="I4" s="33"/>
      <c r="J4" s="33"/>
      <c r="K4" s="33"/>
      <c r="L4" s="33"/>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row>
    <row r="5" spans="1:40" s="75" customFormat="1" ht="16" customHeight="1">
      <c r="A5" s="120"/>
      <c r="B5" s="71"/>
      <c r="C5" s="71"/>
      <c r="D5" s="71"/>
      <c r="E5" s="71"/>
      <c r="F5" s="71"/>
      <c r="G5" s="71"/>
      <c r="H5" s="71"/>
      <c r="I5" s="72"/>
      <c r="J5" s="72"/>
      <c r="K5" s="73"/>
      <c r="L5" s="73"/>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row>
    <row r="6" spans="1:40" s="75" customFormat="1" ht="16" customHeight="1">
      <c r="A6" s="76"/>
      <c r="B6" s="77"/>
      <c r="C6" s="77"/>
      <c r="D6" s="77"/>
      <c r="E6" s="77"/>
      <c r="F6" s="77"/>
      <c r="G6" s="77"/>
      <c r="H6" s="77"/>
      <c r="I6" s="78"/>
      <c r="J6" s="78"/>
      <c r="K6" s="79" t="s">
        <v>321</v>
      </c>
      <c r="L6" s="175"/>
      <c r="M6" s="18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row>
    <row r="7" spans="1:40" s="75" customFormat="1" ht="16" customHeight="1">
      <c r="A7" s="76"/>
      <c r="B7" s="77"/>
      <c r="C7" s="77"/>
      <c r="D7" s="77"/>
      <c r="E7" s="77"/>
      <c r="F7" s="77"/>
      <c r="G7" s="77"/>
      <c r="H7" s="77"/>
      <c r="I7" s="78"/>
      <c r="J7" s="78"/>
      <c r="K7" s="79" t="s">
        <v>358</v>
      </c>
      <c r="L7" s="175"/>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row>
    <row r="8" spans="1:40" s="75" customFormat="1" ht="16" customHeight="1">
      <c r="A8" s="77" t="str">
        <f>'Deploy Parameters'!$F$15</f>
        <v>sfo01m01vc01</v>
      </c>
      <c r="B8" s="77" t="s">
        <v>124</v>
      </c>
      <c r="C8" s="80" t="s">
        <v>38</v>
      </c>
      <c r="D8" s="79">
        <f>IF('Deploy Parameters'!F18="tiny",2,IF('Deploy Parameters'!F18="small",4,IF('Deploy Parameters'!F18="medium",8,IF('Deploy Parameters'!F18="large",16,IF('Deploy Parameters'!F18="xlarge",24)))))</f>
        <v>4</v>
      </c>
      <c r="E8" s="79">
        <f>IF('Deploy Parameters'!F18="tiny",10,IF('Deploy Parameters'!F18="small",16,IF('Deploy Parameters'!F18="medium",24,IF('Deploy Parameters'!F18="large",32,IF('Deploy Parameters'!F18="xlarge",48)))))</f>
        <v>16</v>
      </c>
      <c r="F8" s="79">
        <f>IF('Deploy Parameters'!F18="tiny",250,IF('Deploy Parameters'!F18="small",290,IF('Deploy Parameters'!F18="medium",425,IF('Deploy Parameters'!F18="large",640,IF('Deploy Parameters'!F18="xlarge",980)))))</f>
        <v>290</v>
      </c>
      <c r="G8" s="79">
        <v>0</v>
      </c>
      <c r="H8" s="81">
        <v>0</v>
      </c>
      <c r="I8" s="79"/>
      <c r="J8" s="79"/>
      <c r="K8" s="79" t="s">
        <v>443</v>
      </c>
      <c r="L8" s="175"/>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row>
    <row r="9" spans="1:40" s="75" customFormat="1" ht="16" customHeight="1">
      <c r="A9" s="77" t="str">
        <f>'Deploy Parameters'!$F$16</f>
        <v>sfo01m01psc01</v>
      </c>
      <c r="B9" s="77" t="s">
        <v>185</v>
      </c>
      <c r="C9" s="80" t="s">
        <v>38</v>
      </c>
      <c r="D9" s="79">
        <v>2</v>
      </c>
      <c r="E9" s="79">
        <v>4</v>
      </c>
      <c r="F9" s="79">
        <v>60</v>
      </c>
      <c r="G9" s="79">
        <f t="shared" ref="G9:G15" si="0">E9*H9</f>
        <v>0</v>
      </c>
      <c r="H9" s="81"/>
      <c r="I9" s="79"/>
      <c r="J9" s="79"/>
      <c r="K9" s="79" t="str">
        <f>K8</f>
        <v>6.7 U2</v>
      </c>
      <c r="L9" s="82"/>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row>
    <row r="10" spans="1:40" s="75" customFormat="1" ht="16" customHeight="1">
      <c r="A10" s="80" t="str">
        <f>'Deploy Parameters'!$F$29</f>
        <v>sfo01m01nsx01</v>
      </c>
      <c r="B10" s="77" t="s">
        <v>39</v>
      </c>
      <c r="C10" s="80" t="s">
        <v>38</v>
      </c>
      <c r="D10" s="79">
        <v>4</v>
      </c>
      <c r="E10" s="79">
        <v>16</v>
      </c>
      <c r="F10" s="79">
        <v>60</v>
      </c>
      <c r="G10" s="79">
        <f t="shared" si="0"/>
        <v>0</v>
      </c>
      <c r="H10" s="81"/>
      <c r="I10" s="79"/>
      <c r="J10" s="79"/>
      <c r="K10" s="79" t="s">
        <v>423</v>
      </c>
      <c r="L10" s="175"/>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row>
    <row r="11" spans="1:40" s="75" customFormat="1" ht="16" customHeight="1">
      <c r="A11" s="77" t="str">
        <f>'Deploy Parameters'!$F$17</f>
        <v>sfo01w01psc01</v>
      </c>
      <c r="B11" s="77" t="s">
        <v>186</v>
      </c>
      <c r="C11" s="80" t="s">
        <v>38</v>
      </c>
      <c r="D11" s="79">
        <v>2</v>
      </c>
      <c r="E11" s="79">
        <v>4</v>
      </c>
      <c r="F11" s="79">
        <v>60</v>
      </c>
      <c r="G11" s="79">
        <f t="shared" si="0"/>
        <v>0</v>
      </c>
      <c r="H11" s="81"/>
      <c r="I11" s="79"/>
      <c r="J11" s="79"/>
      <c r="K11" s="79" t="str">
        <f>K8</f>
        <v>6.7 U2</v>
      </c>
      <c r="L11" s="82"/>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row>
    <row r="12" spans="1:40" s="75" customFormat="1" ht="16" customHeight="1">
      <c r="A12" s="80" t="s">
        <v>145</v>
      </c>
      <c r="B12" s="77" t="s">
        <v>142</v>
      </c>
      <c r="C12" s="80" t="s">
        <v>38</v>
      </c>
      <c r="D12" s="79">
        <v>4</v>
      </c>
      <c r="E12" s="79">
        <v>4</v>
      </c>
      <c r="F12" s="79">
        <v>20</v>
      </c>
      <c r="G12" s="79">
        <f t="shared" si="0"/>
        <v>0</v>
      </c>
      <c r="H12" s="81"/>
      <c r="I12" s="79"/>
      <c r="J12" s="79"/>
      <c r="K12" s="79" t="str">
        <f>K10</f>
        <v>6.4.4</v>
      </c>
      <c r="L12" s="82"/>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row>
    <row r="13" spans="1:40" s="75" customFormat="1" ht="16" customHeight="1">
      <c r="A13" s="80" t="s">
        <v>146</v>
      </c>
      <c r="B13" s="77" t="s">
        <v>144</v>
      </c>
      <c r="C13" s="80" t="s">
        <v>38</v>
      </c>
      <c r="D13" s="79">
        <v>4</v>
      </c>
      <c r="E13" s="79">
        <v>4</v>
      </c>
      <c r="F13" s="79">
        <v>20</v>
      </c>
      <c r="G13" s="79">
        <f t="shared" si="0"/>
        <v>0</v>
      </c>
      <c r="H13" s="81"/>
      <c r="I13" s="79"/>
      <c r="J13" s="79"/>
      <c r="K13" s="79" t="str">
        <f>K10</f>
        <v>6.4.4</v>
      </c>
      <c r="L13" s="82"/>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row>
    <row r="14" spans="1:40" s="158" customFormat="1" ht="16" customHeight="1">
      <c r="A14" s="80" t="s">
        <v>147</v>
      </c>
      <c r="B14" s="77" t="s">
        <v>143</v>
      </c>
      <c r="C14" s="80" t="s">
        <v>38</v>
      </c>
      <c r="D14" s="79">
        <v>4</v>
      </c>
      <c r="E14" s="79">
        <v>4</v>
      </c>
      <c r="F14" s="79">
        <v>20</v>
      </c>
      <c r="G14" s="79">
        <f t="shared" si="0"/>
        <v>0</v>
      </c>
      <c r="H14" s="81"/>
      <c r="I14" s="79"/>
      <c r="J14" s="79"/>
      <c r="K14" s="79" t="str">
        <f>K10</f>
        <v>6.4.4</v>
      </c>
      <c r="L14" s="82"/>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row>
    <row r="15" spans="1:40" s="75" customFormat="1" ht="16" customHeight="1">
      <c r="A15" s="80" t="str">
        <f>'Deploy Parameters'!F42</f>
        <v>sddc-manager</v>
      </c>
      <c r="B15" s="77" t="s">
        <v>209</v>
      </c>
      <c r="C15" s="80" t="s">
        <v>38</v>
      </c>
      <c r="D15" s="79">
        <v>4</v>
      </c>
      <c r="E15" s="79">
        <v>16</v>
      </c>
      <c r="F15" s="79">
        <v>800</v>
      </c>
      <c r="G15" s="79">
        <f t="shared" si="0"/>
        <v>0</v>
      </c>
      <c r="H15" s="81"/>
      <c r="I15" s="79"/>
      <c r="J15" s="79"/>
      <c r="K15" s="79" t="s">
        <v>357</v>
      </c>
      <c r="L15" s="175"/>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row>
    <row r="16" spans="1:40" s="75" customFormat="1" ht="16" customHeight="1">
      <c r="A16" s="83"/>
      <c r="B16" s="84"/>
      <c r="C16" s="85" t="s">
        <v>158</v>
      </c>
      <c r="D16" s="86">
        <f>SUM(D8:D15)</f>
        <v>28</v>
      </c>
      <c r="E16" s="86">
        <f>SUM(E8:E15)</f>
        <v>68</v>
      </c>
      <c r="F16" s="86">
        <f>SUM(F8:F15)</f>
        <v>1330</v>
      </c>
      <c r="G16" s="90" t="s">
        <v>166</v>
      </c>
      <c r="H16" s="88"/>
      <c r="I16" s="87"/>
      <c r="J16" s="87"/>
      <c r="K16" s="89"/>
      <c r="L16" s="87"/>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row>
    <row r="17" spans="1:40" s="164" customFormat="1" ht="16" customHeight="1">
      <c r="A17" s="120"/>
      <c r="B17" s="71"/>
      <c r="C17" s="71"/>
      <c r="D17" s="71"/>
      <c r="E17" s="71"/>
      <c r="F17" s="71"/>
      <c r="G17" s="71"/>
      <c r="H17" s="71"/>
      <c r="I17" s="72"/>
      <c r="J17" s="72"/>
      <c r="K17" s="168"/>
      <c r="L17" s="7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row>
    <row r="18" spans="1:40" s="164" customFormat="1" ht="16" customHeight="1">
      <c r="A18" s="80" t="str">
        <f>'Deploy Parameters'!F36</f>
        <v>sfo01vrli01a</v>
      </c>
      <c r="B18" s="77" t="s">
        <v>229</v>
      </c>
      <c r="C18" s="80" t="s">
        <v>38</v>
      </c>
      <c r="D18" s="79">
        <f>IF('Deploy Parameters'!F39="xsmall",2,IF('Deploy Parameters'!F39="small",4,IF('Deploy Parameters'!F39="medium",8,IF('Deploy Parameters'!F39="large",16))))</f>
        <v>8</v>
      </c>
      <c r="E18" s="79">
        <f>IF('Deploy Parameters'!F39="xsmall",4,IF('Deploy Parameters'!F39="small",8,IF('Deploy Parameters'!F39="medium",16,IF('Deploy Parameters'!F39="large",32))))</f>
        <v>16</v>
      </c>
      <c r="F18" s="79">
        <v>1312</v>
      </c>
      <c r="G18" s="79">
        <f>E18*H18</f>
        <v>0</v>
      </c>
      <c r="H18" s="81"/>
      <c r="I18" s="79"/>
      <c r="J18" s="79"/>
      <c r="K18" s="169">
        <v>4.7</v>
      </c>
      <c r="L18" s="286"/>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row>
    <row r="19" spans="1:40" s="164" customFormat="1" ht="16" customHeight="1">
      <c r="A19" s="80" t="str">
        <f>'Deploy Parameters'!F37</f>
        <v>sfo01vrli01b</v>
      </c>
      <c r="B19" s="77" t="s">
        <v>230</v>
      </c>
      <c r="C19" s="80" t="s">
        <v>38</v>
      </c>
      <c r="D19" s="79">
        <f>IF('Deploy Parameters'!F39="xsmall",2,IF('Deploy Parameters'!F39="small",4,IF('Deploy Parameters'!F39="medium",8,IF('Deploy Parameters'!F39="large",16))))</f>
        <v>8</v>
      </c>
      <c r="E19" s="79">
        <f>IF('Deploy Parameters'!F39="xsmall",4,IF('Deploy Parameters'!F39="small",8,IF('Deploy Parameters'!F39="medium",16,IF('Deploy Parameters'!F39="large",32))))</f>
        <v>16</v>
      </c>
      <c r="F19" s="79">
        <v>1312</v>
      </c>
      <c r="G19" s="79">
        <f>E19*H19</f>
        <v>0</v>
      </c>
      <c r="H19" s="81"/>
      <c r="I19" s="79"/>
      <c r="J19" s="79"/>
      <c r="K19" s="169">
        <f>K18</f>
        <v>4.7</v>
      </c>
      <c r="L19" s="287"/>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s="164" customFormat="1" ht="16" customHeight="1">
      <c r="A20" s="80" t="str">
        <f>'Deploy Parameters'!F38</f>
        <v>sfo01vrli01c</v>
      </c>
      <c r="B20" s="77" t="s">
        <v>230</v>
      </c>
      <c r="C20" s="80" t="s">
        <v>38</v>
      </c>
      <c r="D20" s="79">
        <f>IF('Deploy Parameters'!F39="xsmall",2,IF('Deploy Parameters'!F39="small",4,IF('Deploy Parameters'!F39="medium",8,IF('Deploy Parameters'!F39="large",16))))</f>
        <v>8</v>
      </c>
      <c r="E20" s="79">
        <f>IF('Deploy Parameters'!F39="xsmall",4,IF('Deploy Parameters'!F39="small",8,IF('Deploy Parameters'!F39="medium",16,IF('Deploy Parameters'!F39="large",32))))</f>
        <v>16</v>
      </c>
      <c r="F20" s="79">
        <v>1312</v>
      </c>
      <c r="G20" s="79">
        <f>E20*H20</f>
        <v>0</v>
      </c>
      <c r="H20" s="81"/>
      <c r="I20" s="79"/>
      <c r="J20" s="79"/>
      <c r="K20" s="169">
        <f>K18</f>
        <v>4.7</v>
      </c>
      <c r="L20" s="288"/>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1:40" s="164" customFormat="1" ht="16" customHeight="1">
      <c r="A21" s="83"/>
      <c r="B21" s="84"/>
      <c r="C21" s="85" t="s">
        <v>231</v>
      </c>
      <c r="D21" s="86">
        <f>SUM(D18:D20)</f>
        <v>24</v>
      </c>
      <c r="E21" s="86">
        <f>SUM(E18:E20)</f>
        <v>48</v>
      </c>
      <c r="F21" s="86">
        <f>SUM(F18:F20)</f>
        <v>3936</v>
      </c>
      <c r="G21" s="87"/>
      <c r="H21" s="88"/>
      <c r="I21" s="87"/>
      <c r="J21" s="87"/>
      <c r="K21" s="89"/>
      <c r="L21" s="87"/>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row>
    <row r="22" spans="1:40" s="74" customFormat="1" ht="16" customHeight="1">
      <c r="F22" s="91"/>
      <c r="H22" s="91"/>
      <c r="K22" s="91"/>
      <c r="L22" s="91"/>
    </row>
    <row r="23" spans="1:40" s="74" customFormat="1" ht="16" customHeight="1">
      <c r="C23" s="294" t="s">
        <v>168</v>
      </c>
      <c r="D23" s="295"/>
      <c r="E23" s="295"/>
      <c r="F23" s="295"/>
      <c r="G23" s="296"/>
      <c r="H23" s="296"/>
      <c r="I23" s="296"/>
      <c r="J23" s="296"/>
      <c r="K23" s="91"/>
      <c r="L23" s="91"/>
    </row>
    <row r="24" spans="1:40" s="74" customFormat="1" ht="16" customHeight="1" thickBot="1">
      <c r="D24" s="92" t="s">
        <v>40</v>
      </c>
      <c r="E24" s="92" t="s">
        <v>35</v>
      </c>
      <c r="F24" s="92" t="s">
        <v>36</v>
      </c>
      <c r="I24" s="86"/>
      <c r="J24" s="86"/>
      <c r="K24" s="91"/>
      <c r="L24" s="91"/>
    </row>
    <row r="25" spans="1:40" s="74" customFormat="1" ht="16" customHeight="1" thickBot="1">
      <c r="C25" s="90" t="s">
        <v>41</v>
      </c>
      <c r="D25" s="93">
        <f>SUM(D21+D16)</f>
        <v>52</v>
      </c>
      <c r="E25" s="93">
        <f>SUM(E21+E16)</f>
        <v>116</v>
      </c>
      <c r="F25" s="93">
        <f>SUM(F21+F16)</f>
        <v>5266</v>
      </c>
      <c r="I25" s="87"/>
      <c r="J25" s="87"/>
      <c r="K25" s="91"/>
      <c r="L25" s="91"/>
    </row>
    <row r="26" spans="1:40" s="74" customFormat="1" ht="16" customHeight="1">
      <c r="C26" s="90" t="s">
        <v>42</v>
      </c>
      <c r="D26" s="91"/>
      <c r="E26" s="91"/>
      <c r="F26" s="91">
        <f>ROUNDUP(F25*1.3,0)</f>
        <v>6846</v>
      </c>
      <c r="I26" s="91"/>
      <c r="J26" s="91"/>
      <c r="K26" s="91"/>
      <c r="L26" s="91"/>
    </row>
    <row r="27" spans="1:40" s="74" customFormat="1" ht="16" customHeight="1" thickBot="1">
      <c r="K27" s="91"/>
      <c r="L27" s="91"/>
    </row>
    <row r="28" spans="1:40" s="74" customFormat="1" ht="16" customHeight="1">
      <c r="C28" s="289" t="s">
        <v>43</v>
      </c>
      <c r="D28" s="290"/>
      <c r="E28" s="290"/>
      <c r="F28" s="291"/>
      <c r="H28" s="94" t="s">
        <v>44</v>
      </c>
      <c r="I28" s="95"/>
      <c r="J28" s="95"/>
      <c r="K28" s="96"/>
      <c r="L28" s="97"/>
    </row>
    <row r="29" spans="1:40" s="74" customFormat="1" ht="16" customHeight="1">
      <c r="C29" s="297" t="s">
        <v>45</v>
      </c>
      <c r="D29" s="298"/>
      <c r="E29" s="87">
        <v>4</v>
      </c>
      <c r="F29" s="98" t="s">
        <v>3</v>
      </c>
      <c r="H29" s="99" t="s">
        <v>137</v>
      </c>
      <c r="I29" s="84"/>
      <c r="J29" s="100">
        <f>(K34*K35)*E29</f>
        <v>16384</v>
      </c>
      <c r="K29" s="98" t="s">
        <v>46</v>
      </c>
    </row>
    <row r="30" spans="1:40" s="74" customFormat="1" ht="16" customHeight="1">
      <c r="C30" s="297" t="s">
        <v>47</v>
      </c>
      <c r="D30" s="298"/>
      <c r="E30" s="87">
        <v>1</v>
      </c>
      <c r="F30" s="98" t="s">
        <v>3</v>
      </c>
      <c r="H30" s="99" t="s">
        <v>48</v>
      </c>
      <c r="I30" s="84"/>
      <c r="J30" s="84">
        <f>E30</f>
        <v>1</v>
      </c>
      <c r="K30" s="98" t="s">
        <v>3</v>
      </c>
    </row>
    <row r="31" spans="1:40" s="74" customFormat="1" ht="16" customHeight="1" thickBot="1">
      <c r="C31" s="299" t="s">
        <v>49</v>
      </c>
      <c r="D31" s="300"/>
      <c r="E31" s="93">
        <f>E29-E30</f>
        <v>3</v>
      </c>
      <c r="F31" s="101" t="s">
        <v>3</v>
      </c>
      <c r="H31" s="99" t="s">
        <v>50</v>
      </c>
      <c r="I31" s="84"/>
      <c r="J31" s="102">
        <v>15</v>
      </c>
      <c r="K31" s="98" t="s">
        <v>51</v>
      </c>
    </row>
    <row r="32" spans="1:40" s="74" customFormat="1" ht="16" customHeight="1" thickBot="1">
      <c r="H32" s="99" t="s">
        <v>140</v>
      </c>
      <c r="I32" s="84"/>
      <c r="J32" s="100">
        <f>((J29/100*J31)+J29)/E29</f>
        <v>4710.3999999999996</v>
      </c>
      <c r="K32" s="98" t="s">
        <v>46</v>
      </c>
    </row>
    <row r="33" spans="3:14" s="74" customFormat="1" ht="16" customHeight="1">
      <c r="C33" s="289" t="s">
        <v>131</v>
      </c>
      <c r="D33" s="290"/>
      <c r="E33" s="290"/>
      <c r="F33" s="291"/>
      <c r="H33" s="103" t="s">
        <v>134</v>
      </c>
      <c r="I33" s="104"/>
      <c r="J33" s="105" t="s">
        <v>135</v>
      </c>
      <c r="K33" s="106" t="s">
        <v>136</v>
      </c>
      <c r="M33" s="84"/>
      <c r="N33" s="84"/>
    </row>
    <row r="34" spans="3:14" s="74" customFormat="1" ht="16" customHeight="1">
      <c r="C34" s="297" t="s">
        <v>130</v>
      </c>
      <c r="D34" s="298"/>
      <c r="E34" s="100">
        <f>$E$25/$E$29</f>
        <v>29</v>
      </c>
      <c r="F34" s="98" t="s">
        <v>46</v>
      </c>
      <c r="H34" s="107" t="s">
        <v>129</v>
      </c>
      <c r="I34" s="84"/>
      <c r="J34" s="86">
        <v>300</v>
      </c>
      <c r="K34" s="108">
        <v>2048</v>
      </c>
      <c r="M34" s="84"/>
      <c r="N34" s="84"/>
    </row>
    <row r="35" spans="3:14" s="74" customFormat="1" ht="16" customHeight="1">
      <c r="C35" s="297" t="s">
        <v>52</v>
      </c>
      <c r="D35" s="298"/>
      <c r="E35" s="84">
        <v>192</v>
      </c>
      <c r="F35" s="98" t="s">
        <v>46</v>
      </c>
      <c r="H35" s="99" t="s">
        <v>53</v>
      </c>
      <c r="I35" s="84"/>
      <c r="J35" s="109">
        <v>1</v>
      </c>
      <c r="K35" s="110">
        <v>2</v>
      </c>
      <c r="M35" s="84"/>
      <c r="N35" s="84"/>
    </row>
    <row r="36" spans="3:14" s="74" customFormat="1" ht="16" customHeight="1">
      <c r="C36" s="297" t="s">
        <v>54</v>
      </c>
      <c r="D36" s="298"/>
      <c r="E36" s="102">
        <f>$E$34/$E$35*100</f>
        <v>15.104166666666666</v>
      </c>
      <c r="F36" s="98" t="s">
        <v>51</v>
      </c>
      <c r="H36" s="99" t="s">
        <v>138</v>
      </c>
      <c r="I36" s="84"/>
      <c r="J36" s="84">
        <f>(J34*J35)+(K34*K35)</f>
        <v>4396</v>
      </c>
      <c r="K36" s="98" t="s">
        <v>46</v>
      </c>
      <c r="M36" s="84"/>
      <c r="N36" s="84"/>
    </row>
    <row r="37" spans="3:14" s="74" customFormat="1" ht="16" customHeight="1" thickBot="1">
      <c r="C37" s="297" t="s">
        <v>55</v>
      </c>
      <c r="D37" s="298"/>
      <c r="E37" s="84">
        <f>$E$25/$E$31</f>
        <v>38.666666666666664</v>
      </c>
      <c r="F37" s="98" t="s">
        <v>46</v>
      </c>
      <c r="H37" s="111" t="s">
        <v>139</v>
      </c>
      <c r="I37" s="112"/>
      <c r="J37" s="113">
        <f>J36*E29</f>
        <v>17584</v>
      </c>
      <c r="K37" s="101" t="s">
        <v>46</v>
      </c>
      <c r="M37" s="84"/>
      <c r="N37" s="84"/>
    </row>
    <row r="38" spans="3:14" s="74" customFormat="1" ht="16" customHeight="1" thickBot="1">
      <c r="C38" s="299" t="s">
        <v>56</v>
      </c>
      <c r="D38" s="300"/>
      <c r="E38" s="114">
        <f>$E$37/$E$35*100</f>
        <v>20.138888888888886</v>
      </c>
      <c r="F38" s="101" t="s">
        <v>51</v>
      </c>
      <c r="K38" s="109"/>
      <c r="L38" s="109"/>
      <c r="M38" s="84"/>
      <c r="N38" s="84"/>
    </row>
    <row r="39" spans="3:14" s="74" customFormat="1" ht="16" customHeight="1" thickBot="1">
      <c r="G39" s="115"/>
      <c r="H39" s="115"/>
      <c r="I39" s="84"/>
      <c r="J39" s="84"/>
      <c r="K39" s="86"/>
      <c r="L39" s="86"/>
      <c r="M39" s="84"/>
      <c r="N39" s="84"/>
    </row>
    <row r="40" spans="3:14" s="74" customFormat="1" ht="16" customHeight="1">
      <c r="C40" s="289" t="s">
        <v>57</v>
      </c>
      <c r="D40" s="290"/>
      <c r="E40" s="290"/>
      <c r="F40" s="291"/>
      <c r="G40" s="100"/>
      <c r="H40" s="84"/>
      <c r="I40" s="84"/>
      <c r="J40" s="84"/>
      <c r="K40" s="109"/>
      <c r="L40" s="109"/>
      <c r="M40" s="84"/>
      <c r="N40" s="84"/>
    </row>
    <row r="41" spans="3:14" s="74" customFormat="1" ht="16" customHeight="1">
      <c r="C41" s="99"/>
      <c r="D41" s="116" t="s">
        <v>58</v>
      </c>
      <c r="E41" s="84">
        <v>2</v>
      </c>
      <c r="F41" s="98" t="s">
        <v>59</v>
      </c>
      <c r="G41" s="100"/>
      <c r="H41" s="84"/>
      <c r="I41" s="84"/>
      <c r="J41" s="84"/>
      <c r="K41" s="109"/>
      <c r="L41" s="109"/>
      <c r="M41" s="84"/>
      <c r="N41" s="84"/>
    </row>
    <row r="42" spans="3:14" s="74" customFormat="1" ht="16" customHeight="1">
      <c r="C42" s="99"/>
      <c r="D42" s="116" t="s">
        <v>60</v>
      </c>
      <c r="E42" s="84">
        <v>12</v>
      </c>
      <c r="F42" s="98" t="s">
        <v>61</v>
      </c>
      <c r="G42" s="84"/>
      <c r="H42" s="84"/>
      <c r="I42" s="84"/>
      <c r="J42" s="84"/>
      <c r="K42" s="87"/>
      <c r="L42" s="87"/>
      <c r="M42" s="84"/>
      <c r="N42" s="84"/>
    </row>
    <row r="43" spans="3:14" s="74" customFormat="1" ht="16" customHeight="1">
      <c r="C43" s="99"/>
      <c r="D43" s="116" t="s">
        <v>52</v>
      </c>
      <c r="E43" s="100">
        <f>$E$41*$E$42</f>
        <v>24</v>
      </c>
      <c r="F43" s="98" t="s">
        <v>61</v>
      </c>
      <c r="G43" s="84"/>
      <c r="H43" s="84"/>
      <c r="I43" s="84"/>
      <c r="J43" s="84"/>
      <c r="K43" s="87"/>
      <c r="L43" s="87"/>
      <c r="M43" s="84"/>
      <c r="N43" s="84"/>
    </row>
    <row r="44" spans="3:14" s="74" customFormat="1" ht="16" customHeight="1">
      <c r="C44" s="99"/>
      <c r="D44" s="116" t="s">
        <v>62</v>
      </c>
      <c r="E44" s="100">
        <f>$E$43*$E$29</f>
        <v>96</v>
      </c>
      <c r="F44" s="98" t="s">
        <v>61</v>
      </c>
      <c r="K44" s="91"/>
      <c r="L44" s="91"/>
    </row>
    <row r="45" spans="3:14" s="74" customFormat="1" ht="16" customHeight="1">
      <c r="C45" s="99"/>
      <c r="D45" s="116" t="s">
        <v>132</v>
      </c>
      <c r="E45" s="117">
        <f>$D$25/($E$29*$E$43)</f>
        <v>0.54166666666666663</v>
      </c>
      <c r="F45" s="98"/>
      <c r="K45" s="91"/>
      <c r="L45" s="91"/>
    </row>
    <row r="46" spans="3:14" s="74" customFormat="1" ht="16" customHeight="1" thickBot="1">
      <c r="C46" s="111"/>
      <c r="D46" s="118" t="s">
        <v>133</v>
      </c>
      <c r="E46" s="119">
        <f>D25/(E31*E43)</f>
        <v>0.72222222222222221</v>
      </c>
      <c r="F46" s="101"/>
      <c r="K46" s="91"/>
      <c r="L46" s="91"/>
    </row>
    <row r="47" spans="3:14" s="74" customFormat="1">
      <c r="K47" s="91"/>
      <c r="L47" s="91"/>
    </row>
    <row r="48" spans="3:14" s="74" customFormat="1">
      <c r="K48" s="91"/>
      <c r="L48" s="91"/>
    </row>
    <row r="49" spans="11:12" s="74" customFormat="1">
      <c r="K49" s="91"/>
      <c r="L49" s="91"/>
    </row>
    <row r="50" spans="11:12" s="74" customFormat="1">
      <c r="K50" s="91"/>
      <c r="L50" s="91"/>
    </row>
    <row r="51" spans="11:12" s="74" customFormat="1">
      <c r="K51" s="91"/>
      <c r="L51" s="91"/>
    </row>
    <row r="52" spans="11:12" s="74" customFormat="1">
      <c r="K52" s="91"/>
      <c r="L52" s="91"/>
    </row>
    <row r="53" spans="11:12" s="74" customFormat="1">
      <c r="K53" s="91"/>
      <c r="L53" s="91"/>
    </row>
    <row r="54" spans="11:12" s="74" customFormat="1">
      <c r="K54" s="91"/>
      <c r="L54" s="91"/>
    </row>
    <row r="55" spans="11:12" s="74" customFormat="1">
      <c r="K55" s="91"/>
      <c r="L55" s="91"/>
    </row>
    <row r="56" spans="11:12" s="74" customFormat="1">
      <c r="K56" s="91"/>
      <c r="L56" s="91"/>
    </row>
    <row r="57" spans="11:12" s="74" customFormat="1">
      <c r="K57" s="91"/>
      <c r="L57" s="91"/>
    </row>
    <row r="58" spans="11:12" s="74" customFormat="1">
      <c r="K58" s="91"/>
      <c r="L58" s="91"/>
    </row>
    <row r="59" spans="11:12" s="74" customFormat="1">
      <c r="K59" s="91"/>
      <c r="L59" s="91"/>
    </row>
    <row r="60" spans="11:12" s="74" customFormat="1">
      <c r="K60" s="91"/>
      <c r="L60" s="91"/>
    </row>
    <row r="61" spans="11:12" s="74" customFormat="1">
      <c r="K61" s="91"/>
      <c r="L61" s="91"/>
    </row>
    <row r="62" spans="11:12" s="74" customFormat="1">
      <c r="K62" s="91"/>
      <c r="L62" s="91"/>
    </row>
    <row r="63" spans="11:12" s="74" customFormat="1">
      <c r="K63" s="91"/>
      <c r="L63" s="91"/>
    </row>
    <row r="64" spans="11:12" s="74" customFormat="1">
      <c r="K64" s="91"/>
      <c r="L64" s="91"/>
    </row>
    <row r="65" spans="11:12" s="74" customFormat="1">
      <c r="K65" s="91"/>
      <c r="L65" s="91"/>
    </row>
    <row r="66" spans="11:12" s="74" customFormat="1">
      <c r="K66" s="91"/>
      <c r="L66" s="91"/>
    </row>
    <row r="67" spans="11:12" s="74" customFormat="1">
      <c r="K67" s="91"/>
      <c r="L67" s="91"/>
    </row>
    <row r="68" spans="11:12" s="74" customFormat="1">
      <c r="K68" s="91"/>
      <c r="L68" s="91"/>
    </row>
    <row r="69" spans="11:12" s="74" customFormat="1">
      <c r="K69" s="91"/>
      <c r="L69" s="91"/>
    </row>
    <row r="70" spans="11:12" s="74" customFormat="1">
      <c r="K70" s="91"/>
      <c r="L70" s="91"/>
    </row>
    <row r="71" spans="11:12" s="74" customFormat="1">
      <c r="K71" s="91"/>
      <c r="L71" s="91"/>
    </row>
    <row r="72" spans="11:12" s="74" customFormat="1">
      <c r="K72" s="91"/>
      <c r="L72" s="91"/>
    </row>
    <row r="73" spans="11:12" s="74" customFormat="1">
      <c r="K73" s="91"/>
      <c r="L73" s="91"/>
    </row>
    <row r="74" spans="11:12" s="74" customFormat="1">
      <c r="K74" s="91"/>
      <c r="L74" s="91"/>
    </row>
    <row r="75" spans="11:12" s="74" customFormat="1">
      <c r="K75" s="91"/>
      <c r="L75" s="91"/>
    </row>
    <row r="76" spans="11:12" s="74" customFormat="1">
      <c r="K76" s="91"/>
      <c r="L76" s="91"/>
    </row>
    <row r="77" spans="11:12" s="74" customFormat="1">
      <c r="K77" s="91"/>
      <c r="L77" s="91"/>
    </row>
    <row r="78" spans="11:12" s="74" customFormat="1">
      <c r="K78" s="91"/>
      <c r="L78" s="91"/>
    </row>
    <row r="79" spans="11:12" s="74" customFormat="1">
      <c r="K79" s="91"/>
      <c r="L79" s="91"/>
    </row>
    <row r="80" spans="11:12" s="74" customFormat="1">
      <c r="K80" s="91"/>
      <c r="L80" s="91"/>
    </row>
    <row r="81" spans="11:12" s="74" customFormat="1">
      <c r="K81" s="91"/>
      <c r="L81" s="91"/>
    </row>
    <row r="82" spans="11:12" s="74" customFormat="1">
      <c r="K82" s="91"/>
      <c r="L82" s="91"/>
    </row>
    <row r="83" spans="11:12" s="74" customFormat="1">
      <c r="K83" s="91"/>
      <c r="L83" s="91"/>
    </row>
    <row r="84" spans="11:12" s="74" customFormat="1">
      <c r="K84" s="91"/>
      <c r="L84" s="91"/>
    </row>
    <row r="85" spans="11:12" s="74" customFormat="1">
      <c r="K85" s="91"/>
      <c r="L85" s="91"/>
    </row>
    <row r="86" spans="11:12" s="74" customFormat="1">
      <c r="K86" s="91"/>
      <c r="L86" s="91"/>
    </row>
    <row r="87" spans="11:12" s="74" customFormat="1">
      <c r="K87" s="91"/>
      <c r="L87" s="91"/>
    </row>
    <row r="88" spans="11:12" s="74" customFormat="1">
      <c r="K88" s="91"/>
      <c r="L88" s="91"/>
    </row>
    <row r="89" spans="11:12" s="74" customFormat="1">
      <c r="K89" s="91"/>
      <c r="L89" s="91"/>
    </row>
    <row r="90" spans="11:12" s="74" customFormat="1">
      <c r="K90" s="91"/>
      <c r="L90" s="91"/>
    </row>
    <row r="91" spans="11:12" s="74" customFormat="1">
      <c r="K91" s="91"/>
      <c r="L91" s="91"/>
    </row>
    <row r="92" spans="11:12" s="74" customFormat="1">
      <c r="K92" s="91"/>
      <c r="L92" s="91"/>
    </row>
    <row r="93" spans="11:12" s="74" customFormat="1">
      <c r="K93" s="91"/>
      <c r="L93" s="91"/>
    </row>
    <row r="94" spans="11:12" s="74" customFormat="1">
      <c r="K94" s="91"/>
      <c r="L94" s="91"/>
    </row>
    <row r="95" spans="11:12" s="74" customFormat="1">
      <c r="K95" s="91"/>
      <c r="L95" s="91"/>
    </row>
    <row r="96" spans="11:12" s="74" customFormat="1">
      <c r="K96" s="91"/>
      <c r="L96" s="91"/>
    </row>
    <row r="97" spans="11:12" s="74" customFormat="1">
      <c r="K97" s="91"/>
      <c r="L97" s="91"/>
    </row>
    <row r="98" spans="11:12" s="74" customFormat="1">
      <c r="K98" s="91"/>
      <c r="L98" s="91"/>
    </row>
    <row r="99" spans="11:12" s="74" customFormat="1">
      <c r="K99" s="91"/>
      <c r="L99" s="91"/>
    </row>
    <row r="100" spans="11:12" s="74" customFormat="1">
      <c r="K100" s="91"/>
      <c r="L100" s="91"/>
    </row>
    <row r="101" spans="11:12" s="29" customFormat="1">
      <c r="K101" s="34"/>
      <c r="L101" s="34"/>
    </row>
    <row r="102" spans="11:12" s="29" customFormat="1">
      <c r="K102" s="34"/>
      <c r="L102" s="34"/>
    </row>
    <row r="103" spans="11:12" s="29" customFormat="1">
      <c r="K103" s="34"/>
      <c r="L103" s="34"/>
    </row>
    <row r="104" spans="11:12" s="29" customFormat="1">
      <c r="K104" s="34"/>
      <c r="L104" s="34"/>
    </row>
    <row r="105" spans="11:12" s="29" customFormat="1">
      <c r="K105" s="34"/>
      <c r="L105" s="34"/>
    </row>
    <row r="106" spans="11:12" s="29" customFormat="1">
      <c r="K106" s="34"/>
      <c r="L106" s="34"/>
    </row>
    <row r="107" spans="11:12" s="29" customFormat="1">
      <c r="K107" s="34"/>
      <c r="L107" s="34"/>
    </row>
    <row r="108" spans="11:12" s="29" customFormat="1">
      <c r="K108" s="34"/>
      <c r="L108" s="34"/>
    </row>
    <row r="109" spans="11:12" s="29" customFormat="1">
      <c r="K109" s="34"/>
      <c r="L109" s="34"/>
    </row>
    <row r="110" spans="11:12" s="29" customFormat="1">
      <c r="K110" s="34"/>
      <c r="L110" s="34"/>
    </row>
    <row r="111" spans="11:12" s="29" customFormat="1">
      <c r="K111" s="34"/>
      <c r="L111" s="34"/>
    </row>
    <row r="112" spans="11:12" s="29" customFormat="1">
      <c r="K112" s="34"/>
      <c r="L112" s="34"/>
    </row>
    <row r="113" spans="11:12" s="29" customFormat="1">
      <c r="K113" s="34"/>
      <c r="L113" s="34"/>
    </row>
    <row r="114" spans="11:12" s="29" customFormat="1">
      <c r="K114" s="34"/>
      <c r="L114" s="34"/>
    </row>
    <row r="115" spans="11:12" s="29" customFormat="1">
      <c r="K115" s="34"/>
      <c r="L115" s="34"/>
    </row>
    <row r="116" spans="11:12" s="29" customFormat="1">
      <c r="K116" s="34"/>
      <c r="L116" s="34"/>
    </row>
    <row r="117" spans="11:12" s="29" customFormat="1">
      <c r="K117" s="34"/>
      <c r="L117" s="34"/>
    </row>
    <row r="118" spans="11:12" s="29" customFormat="1">
      <c r="K118" s="34"/>
      <c r="L118" s="34"/>
    </row>
    <row r="119" spans="11:12" s="29" customFormat="1">
      <c r="K119" s="34"/>
      <c r="L119" s="34"/>
    </row>
    <row r="120" spans="11:12" s="29" customFormat="1">
      <c r="K120" s="34"/>
      <c r="L120" s="34"/>
    </row>
    <row r="121" spans="11:12" s="29" customFormat="1">
      <c r="K121" s="34"/>
      <c r="L121" s="34"/>
    </row>
    <row r="122" spans="11:12" s="29" customFormat="1">
      <c r="K122" s="34"/>
      <c r="L122" s="34"/>
    </row>
    <row r="123" spans="11:12" s="29" customFormat="1">
      <c r="K123" s="34"/>
      <c r="L123" s="34"/>
    </row>
    <row r="124" spans="11:12" s="29" customFormat="1">
      <c r="K124" s="34"/>
      <c r="L124" s="34"/>
    </row>
    <row r="125" spans="11:12" s="29" customFormat="1">
      <c r="K125" s="34"/>
      <c r="L125" s="34"/>
    </row>
    <row r="126" spans="11:12" s="29" customFormat="1">
      <c r="K126" s="34"/>
      <c r="L126" s="34"/>
    </row>
    <row r="127" spans="11:12" s="29" customFormat="1">
      <c r="K127" s="34"/>
      <c r="L127" s="34"/>
    </row>
    <row r="128" spans="11:12" s="29" customFormat="1">
      <c r="K128" s="34"/>
      <c r="L128" s="34"/>
    </row>
    <row r="129" spans="11:12" s="29" customFormat="1">
      <c r="K129" s="34"/>
      <c r="L129" s="34"/>
    </row>
    <row r="130" spans="11:12" s="29" customFormat="1">
      <c r="K130" s="34"/>
      <c r="L130" s="34"/>
    </row>
    <row r="131" spans="11:12" s="29" customFormat="1">
      <c r="K131" s="34"/>
      <c r="L131" s="34"/>
    </row>
    <row r="132" spans="11:12" s="29" customFormat="1">
      <c r="K132" s="34"/>
      <c r="L132" s="34"/>
    </row>
    <row r="133" spans="11:12" s="29" customFormat="1">
      <c r="K133" s="34"/>
      <c r="L133" s="34"/>
    </row>
    <row r="134" spans="11:12" s="29" customFormat="1">
      <c r="K134" s="34"/>
      <c r="L134" s="34"/>
    </row>
    <row r="135" spans="11:12" s="29" customFormat="1">
      <c r="K135" s="34"/>
      <c r="L135" s="34"/>
    </row>
    <row r="136" spans="11:12" s="29" customFormat="1">
      <c r="K136" s="34"/>
      <c r="L136" s="34"/>
    </row>
    <row r="137" spans="11:12" s="29" customFormat="1">
      <c r="K137" s="34"/>
      <c r="L137" s="34"/>
    </row>
    <row r="138" spans="11:12" s="29" customFormat="1">
      <c r="K138" s="34"/>
      <c r="L138" s="34"/>
    </row>
    <row r="139" spans="11:12" s="29" customFormat="1">
      <c r="K139" s="34"/>
      <c r="L139" s="34"/>
    </row>
    <row r="140" spans="11:12" s="29" customFormat="1">
      <c r="K140" s="34"/>
      <c r="L140" s="34"/>
    </row>
    <row r="141" spans="11:12" s="29" customFormat="1">
      <c r="K141" s="34"/>
      <c r="L141" s="34"/>
    </row>
    <row r="142" spans="11:12" s="29" customFormat="1">
      <c r="K142" s="34"/>
      <c r="L142" s="34"/>
    </row>
    <row r="143" spans="11:12" s="29" customFormat="1">
      <c r="K143" s="34"/>
      <c r="L143" s="34"/>
    </row>
    <row r="144" spans="11:12" s="29" customFormat="1">
      <c r="K144" s="34"/>
      <c r="L144" s="34"/>
    </row>
    <row r="145" spans="11:12" s="29" customFormat="1">
      <c r="K145" s="34"/>
      <c r="L145" s="34"/>
    </row>
    <row r="146" spans="11:12" s="29" customFormat="1">
      <c r="K146" s="34"/>
      <c r="L146" s="34"/>
    </row>
    <row r="147" spans="11:12" s="29" customFormat="1">
      <c r="K147" s="34"/>
      <c r="L147" s="34"/>
    </row>
    <row r="148" spans="11:12" s="29" customFormat="1">
      <c r="K148" s="34"/>
      <c r="L148" s="34"/>
    </row>
    <row r="149" spans="11:12" s="29" customFormat="1">
      <c r="K149" s="34"/>
      <c r="L149" s="34"/>
    </row>
    <row r="150" spans="11:12" s="29" customFormat="1">
      <c r="K150" s="34"/>
      <c r="L150" s="34"/>
    </row>
    <row r="151" spans="11:12" s="29" customFormat="1">
      <c r="K151" s="34"/>
      <c r="L151" s="34"/>
    </row>
    <row r="152" spans="11:12" s="29" customFormat="1">
      <c r="K152" s="34"/>
      <c r="L152" s="34"/>
    </row>
    <row r="153" spans="11:12" s="29" customFormat="1">
      <c r="K153" s="34"/>
      <c r="L153" s="34"/>
    </row>
    <row r="154" spans="11:12" s="29" customFormat="1">
      <c r="K154" s="34"/>
      <c r="L154" s="34"/>
    </row>
    <row r="155" spans="11:12" s="29" customFormat="1">
      <c r="K155" s="34"/>
      <c r="L155" s="34"/>
    </row>
    <row r="156" spans="11:12" s="29" customFormat="1">
      <c r="K156" s="34"/>
      <c r="L156" s="34"/>
    </row>
    <row r="157" spans="11:12" s="29" customFormat="1">
      <c r="K157" s="34"/>
      <c r="L157" s="34"/>
    </row>
    <row r="158" spans="11:12" s="29" customFormat="1">
      <c r="K158" s="34"/>
      <c r="L158" s="34"/>
    </row>
    <row r="159" spans="11:12" s="29" customFormat="1">
      <c r="K159" s="34"/>
      <c r="L159" s="34"/>
    </row>
    <row r="160" spans="11:12" s="29" customFormat="1">
      <c r="K160" s="34"/>
      <c r="L160" s="34"/>
    </row>
    <row r="161" spans="11:12" s="29" customFormat="1">
      <c r="K161" s="34"/>
      <c r="L161" s="34"/>
    </row>
    <row r="162" spans="11:12" s="29" customFormat="1">
      <c r="K162" s="34"/>
      <c r="L162" s="34"/>
    </row>
    <row r="163" spans="11:12" s="29" customFormat="1">
      <c r="K163" s="34"/>
      <c r="L163" s="34"/>
    </row>
    <row r="164" spans="11:12" s="29" customFormat="1">
      <c r="K164" s="34"/>
      <c r="L164" s="34"/>
    </row>
    <row r="165" spans="11:12" s="29" customFormat="1">
      <c r="K165" s="34"/>
      <c r="L165" s="34"/>
    </row>
    <row r="166" spans="11:12" s="29" customFormat="1">
      <c r="K166" s="34"/>
      <c r="L166" s="34"/>
    </row>
    <row r="167" spans="11:12" s="29" customFormat="1">
      <c r="K167" s="34"/>
      <c r="L167" s="34"/>
    </row>
    <row r="168" spans="11:12" s="29" customFormat="1">
      <c r="K168" s="34"/>
      <c r="L168" s="34"/>
    </row>
    <row r="169" spans="11:12" s="29" customFormat="1">
      <c r="K169" s="34"/>
      <c r="L169" s="34"/>
    </row>
    <row r="170" spans="11:12" s="29" customFormat="1">
      <c r="K170" s="34"/>
      <c r="L170" s="34"/>
    </row>
    <row r="171" spans="11:12" s="29" customFormat="1">
      <c r="K171" s="34"/>
      <c r="L171" s="34"/>
    </row>
    <row r="172" spans="11:12" s="29" customFormat="1">
      <c r="K172" s="34"/>
      <c r="L172" s="34"/>
    </row>
    <row r="173" spans="11:12" s="29" customFormat="1">
      <c r="K173" s="34"/>
      <c r="L173" s="34"/>
    </row>
    <row r="174" spans="11:12" s="29" customFormat="1">
      <c r="K174" s="34"/>
      <c r="L174" s="34"/>
    </row>
    <row r="175" spans="11:12" s="29" customFormat="1">
      <c r="K175" s="34"/>
      <c r="L175" s="34"/>
    </row>
    <row r="176" spans="11:12" s="29" customFormat="1">
      <c r="K176" s="34"/>
      <c r="L176" s="34"/>
    </row>
    <row r="177" spans="11:12" s="29" customFormat="1">
      <c r="K177" s="34"/>
      <c r="L177" s="34"/>
    </row>
    <row r="178" spans="11:12" s="29" customFormat="1">
      <c r="K178" s="34"/>
      <c r="L178" s="34"/>
    </row>
    <row r="179" spans="11:12" s="29" customFormat="1">
      <c r="K179" s="34"/>
      <c r="L179" s="34"/>
    </row>
    <row r="180" spans="11:12" s="29" customFormat="1">
      <c r="K180" s="34"/>
      <c r="L180" s="34"/>
    </row>
    <row r="181" spans="11:12" s="29" customFormat="1">
      <c r="K181" s="34"/>
      <c r="L181" s="34"/>
    </row>
    <row r="182" spans="11:12" s="29" customFormat="1">
      <c r="K182" s="34"/>
      <c r="L182" s="34"/>
    </row>
    <row r="183" spans="11:12" s="29" customFormat="1">
      <c r="K183" s="34"/>
      <c r="L183" s="34"/>
    </row>
    <row r="184" spans="11:12" s="29" customFormat="1">
      <c r="K184" s="34"/>
      <c r="L184" s="34"/>
    </row>
    <row r="185" spans="11:12" s="29" customFormat="1">
      <c r="K185" s="34"/>
      <c r="L185" s="34"/>
    </row>
    <row r="186" spans="11:12" s="29" customFormat="1">
      <c r="K186" s="34"/>
      <c r="L186" s="34"/>
    </row>
    <row r="187" spans="11:12" s="29" customFormat="1">
      <c r="K187" s="34"/>
      <c r="L187" s="34"/>
    </row>
    <row r="188" spans="11:12" s="29" customFormat="1">
      <c r="K188" s="34"/>
      <c r="L188" s="34"/>
    </row>
    <row r="189" spans="11:12" s="29" customFormat="1">
      <c r="K189" s="34"/>
      <c r="L189" s="34"/>
    </row>
    <row r="190" spans="11:12" s="29" customFormat="1">
      <c r="K190" s="34"/>
      <c r="L190" s="34"/>
    </row>
    <row r="191" spans="11:12" s="29" customFormat="1">
      <c r="K191" s="34"/>
      <c r="L191" s="34"/>
    </row>
    <row r="192" spans="11:12" s="29" customFormat="1">
      <c r="K192" s="34"/>
      <c r="L192" s="34"/>
    </row>
    <row r="193" spans="11:12" s="29" customFormat="1">
      <c r="K193" s="34"/>
      <c r="L193" s="34"/>
    </row>
    <row r="194" spans="11:12" s="29" customFormat="1">
      <c r="K194" s="34"/>
      <c r="L194" s="34"/>
    </row>
    <row r="195" spans="11:12" s="29" customFormat="1">
      <c r="K195" s="34"/>
      <c r="L195" s="34"/>
    </row>
    <row r="196" spans="11:12" s="29" customFormat="1">
      <c r="K196" s="34"/>
      <c r="L196" s="34"/>
    </row>
    <row r="197" spans="11:12" s="29" customFormat="1">
      <c r="K197" s="34"/>
      <c r="L197" s="34"/>
    </row>
    <row r="198" spans="11:12" s="29" customFormat="1">
      <c r="K198" s="34"/>
      <c r="L198" s="34"/>
    </row>
    <row r="199" spans="11:12" s="29" customFormat="1">
      <c r="K199" s="34"/>
      <c r="L199" s="34"/>
    </row>
    <row r="200" spans="11:12" s="29" customFormat="1">
      <c r="K200" s="34"/>
      <c r="L200" s="34"/>
    </row>
    <row r="201" spans="11:12" s="29" customFormat="1">
      <c r="K201" s="34"/>
      <c r="L201" s="34"/>
    </row>
    <row r="202" spans="11:12" s="29" customFormat="1">
      <c r="K202" s="34"/>
      <c r="L202" s="34"/>
    </row>
    <row r="203" spans="11:12" s="29" customFormat="1">
      <c r="K203" s="34"/>
      <c r="L203" s="34"/>
    </row>
    <row r="204" spans="11:12" s="29" customFormat="1">
      <c r="K204" s="34"/>
      <c r="L204" s="34"/>
    </row>
    <row r="205" spans="11:12" s="29" customFormat="1">
      <c r="K205" s="34"/>
      <c r="L205" s="34"/>
    </row>
    <row r="206" spans="11:12" s="29" customFormat="1">
      <c r="K206" s="34"/>
      <c r="L206" s="34"/>
    </row>
    <row r="207" spans="11:12" s="29" customFormat="1">
      <c r="K207" s="34"/>
      <c r="L207" s="34"/>
    </row>
    <row r="208" spans="11:12" s="29" customFormat="1">
      <c r="K208" s="34"/>
      <c r="L208" s="34"/>
    </row>
    <row r="209" spans="11:12" s="29" customFormat="1">
      <c r="K209" s="34"/>
      <c r="L209" s="34"/>
    </row>
    <row r="210" spans="11:12" s="29" customFormat="1">
      <c r="K210" s="34"/>
      <c r="L210" s="34"/>
    </row>
    <row r="211" spans="11:12" s="29" customFormat="1">
      <c r="K211" s="34"/>
      <c r="L211" s="34"/>
    </row>
    <row r="212" spans="11:12" s="29" customFormat="1">
      <c r="K212" s="34"/>
      <c r="L212" s="34"/>
    </row>
    <row r="213" spans="11:12" s="29" customFormat="1">
      <c r="K213" s="34"/>
      <c r="L213" s="34"/>
    </row>
    <row r="214" spans="11:12" s="29" customFormat="1">
      <c r="K214" s="34"/>
      <c r="L214" s="34"/>
    </row>
    <row r="215" spans="11:12" s="29" customFormat="1">
      <c r="K215" s="34"/>
      <c r="L215" s="34"/>
    </row>
    <row r="216" spans="11:12" s="29" customFormat="1">
      <c r="K216" s="34"/>
      <c r="L216" s="34"/>
    </row>
    <row r="217" spans="11:12" s="29" customFormat="1">
      <c r="K217" s="34"/>
      <c r="L217" s="34"/>
    </row>
    <row r="218" spans="11:12" s="29" customFormat="1">
      <c r="K218" s="34"/>
      <c r="L218" s="34"/>
    </row>
    <row r="219" spans="11:12" s="29" customFormat="1">
      <c r="K219" s="34"/>
      <c r="L219" s="34"/>
    </row>
    <row r="220" spans="11:12" s="29" customFormat="1">
      <c r="K220" s="34"/>
      <c r="L220" s="34"/>
    </row>
    <row r="221" spans="11:12" s="29" customFormat="1">
      <c r="K221" s="34"/>
      <c r="L221" s="34"/>
    </row>
    <row r="222" spans="11:12" s="29" customFormat="1">
      <c r="K222" s="34"/>
      <c r="L222" s="34"/>
    </row>
    <row r="223" spans="11:12" s="29" customFormat="1">
      <c r="K223" s="34"/>
      <c r="L223" s="34"/>
    </row>
    <row r="224" spans="11:12" s="29" customFormat="1">
      <c r="K224" s="34"/>
      <c r="L224" s="34"/>
    </row>
    <row r="225" spans="11:12" s="29" customFormat="1">
      <c r="K225" s="34"/>
      <c r="L225" s="34"/>
    </row>
    <row r="226" spans="11:12" s="29" customFormat="1">
      <c r="K226" s="34"/>
      <c r="L226" s="34"/>
    </row>
    <row r="227" spans="11:12" s="29" customFormat="1">
      <c r="K227" s="34"/>
      <c r="L227" s="34"/>
    </row>
    <row r="228" spans="11:12" s="29" customFormat="1">
      <c r="K228" s="34"/>
      <c r="L228" s="34"/>
    </row>
    <row r="229" spans="11:12" s="29" customFormat="1">
      <c r="K229" s="34"/>
      <c r="L229" s="34"/>
    </row>
    <row r="230" spans="11:12" s="29" customFormat="1">
      <c r="K230" s="34"/>
      <c r="L230" s="34"/>
    </row>
    <row r="231" spans="11:12" s="29" customFormat="1">
      <c r="K231" s="34"/>
      <c r="L231" s="34"/>
    </row>
    <row r="232" spans="11:12" s="29" customFormat="1">
      <c r="K232" s="34"/>
      <c r="L232" s="34"/>
    </row>
    <row r="233" spans="11:12" s="29" customFormat="1">
      <c r="K233" s="34"/>
      <c r="L233" s="34"/>
    </row>
    <row r="234" spans="11:12" s="29" customFormat="1">
      <c r="K234" s="34"/>
      <c r="L234" s="34"/>
    </row>
    <row r="235" spans="11:12" s="29" customFormat="1">
      <c r="K235" s="34"/>
      <c r="L235" s="34"/>
    </row>
    <row r="236" spans="11:12" s="29" customFormat="1">
      <c r="K236" s="34"/>
      <c r="L236" s="34"/>
    </row>
    <row r="237" spans="11:12" s="29" customFormat="1">
      <c r="K237" s="34"/>
      <c r="L237" s="34"/>
    </row>
    <row r="238" spans="11:12" s="29" customFormat="1">
      <c r="K238" s="34"/>
      <c r="L238" s="34"/>
    </row>
    <row r="239" spans="11:12" s="29" customFormat="1">
      <c r="K239" s="34"/>
      <c r="L239" s="34"/>
    </row>
    <row r="240" spans="11:12" s="29" customFormat="1">
      <c r="K240" s="34"/>
      <c r="L240" s="34"/>
    </row>
    <row r="241" spans="11:12" s="29" customFormat="1">
      <c r="K241" s="34"/>
      <c r="L241" s="34"/>
    </row>
    <row r="242" spans="11:12" s="29" customFormat="1">
      <c r="K242" s="34"/>
      <c r="L242" s="34"/>
    </row>
    <row r="243" spans="11:12" s="29" customFormat="1">
      <c r="K243" s="34"/>
      <c r="L243" s="34"/>
    </row>
    <row r="244" spans="11:12" s="29" customFormat="1">
      <c r="K244" s="34"/>
      <c r="L244" s="34"/>
    </row>
    <row r="245" spans="11:12" s="29" customFormat="1">
      <c r="K245" s="34"/>
      <c r="L245" s="34"/>
    </row>
    <row r="246" spans="11:12" s="29" customFormat="1">
      <c r="K246" s="34"/>
      <c r="L246" s="34"/>
    </row>
    <row r="247" spans="11:12" s="29" customFormat="1">
      <c r="K247" s="34"/>
      <c r="L247" s="34"/>
    </row>
    <row r="248" spans="11:12" s="29" customFormat="1">
      <c r="K248" s="34"/>
      <c r="L248" s="34"/>
    </row>
    <row r="249" spans="11:12" s="29" customFormat="1">
      <c r="K249" s="34"/>
      <c r="L249" s="34"/>
    </row>
    <row r="250" spans="11:12" s="29" customFormat="1">
      <c r="K250" s="34"/>
      <c r="L250" s="34"/>
    </row>
    <row r="251" spans="11:12" s="29" customFormat="1">
      <c r="K251" s="34"/>
      <c r="L251" s="34"/>
    </row>
    <row r="252" spans="11:12" s="29" customFormat="1">
      <c r="K252" s="34"/>
      <c r="L252" s="34"/>
    </row>
    <row r="253" spans="11:12" s="29" customFormat="1">
      <c r="K253" s="34"/>
      <c r="L253" s="34"/>
    </row>
    <row r="254" spans="11:12" s="29" customFormat="1">
      <c r="K254" s="34"/>
      <c r="L254" s="34"/>
    </row>
    <row r="255" spans="11:12" s="29" customFormat="1">
      <c r="K255" s="34"/>
      <c r="L255" s="34"/>
    </row>
    <row r="256" spans="11:12" s="29" customFormat="1">
      <c r="K256" s="34"/>
      <c r="L256" s="34"/>
    </row>
    <row r="257" spans="11:12" s="29" customFormat="1">
      <c r="K257" s="34"/>
      <c r="L257" s="34"/>
    </row>
    <row r="258" spans="11:12" s="29" customFormat="1">
      <c r="K258" s="34"/>
      <c r="L258" s="34"/>
    </row>
    <row r="259" spans="11:12" s="29" customFormat="1">
      <c r="K259" s="34"/>
      <c r="L259" s="34"/>
    </row>
    <row r="260" spans="11:12" s="29" customFormat="1">
      <c r="K260" s="34"/>
      <c r="L260" s="34"/>
    </row>
    <row r="261" spans="11:12" s="29" customFormat="1">
      <c r="K261" s="34"/>
      <c r="L261" s="34"/>
    </row>
    <row r="262" spans="11:12" s="29" customFormat="1">
      <c r="K262" s="34"/>
      <c r="L262" s="34"/>
    </row>
    <row r="263" spans="11:12" s="29" customFormat="1">
      <c r="K263" s="34"/>
      <c r="L263" s="34"/>
    </row>
    <row r="264" spans="11:12" s="29" customFormat="1">
      <c r="K264" s="34"/>
      <c r="L264" s="34"/>
    </row>
    <row r="265" spans="11:12" s="29" customFormat="1">
      <c r="K265" s="34"/>
      <c r="L265" s="34"/>
    </row>
  </sheetData>
  <sheetProtection sheet="1" objects="1" scenarios="1"/>
  <mergeCells count="14">
    <mergeCell ref="L18:L20"/>
    <mergeCell ref="C40:F40"/>
    <mergeCell ref="A4:B4"/>
    <mergeCell ref="C23:J23"/>
    <mergeCell ref="C34:D34"/>
    <mergeCell ref="C28:F28"/>
    <mergeCell ref="C29:D29"/>
    <mergeCell ref="C30:D30"/>
    <mergeCell ref="C31:D31"/>
    <mergeCell ref="C33:F33"/>
    <mergeCell ref="C35:D35"/>
    <mergeCell ref="C36:D36"/>
    <mergeCell ref="C37:D37"/>
    <mergeCell ref="C38:D38"/>
  </mergeCells>
  <conditionalFormatting sqref="L6:L8 L10 L15 L18:L20">
    <cfRule type="duplicateValues" dxfId="184" priority="5"/>
    <cfRule type="containsBlanks" dxfId="183" priority="16">
      <formula>LEN(TRIM(L6))=0</formula>
    </cfRule>
  </conditionalFormatting>
  <conditionalFormatting sqref="L6:L8 L10 L15">
    <cfRule type="expression" dxfId="182" priority="1">
      <formula>IF(#REF!="",FALSE,TRUE)</formula>
    </cfRule>
  </conditionalFormatting>
  <dataValidations count="1">
    <dataValidation type="custom" allowBlank="1" showInputMessage="1" showErrorMessage="1" errorTitle="Invalid License Key" error="Please enter a valid license key_x000a_xxxxx-xxxxx-xxxxx-xxxxx-xxxxx" sqref="L18:L20 L10 L15 L6:L8" xr:uid="{00000000-0002-0000-0100-000000000000}">
      <formula1>AND(EXACT(L6,UPPER(L6)),LEN(L6)=29,6=FIND("-",L6),12=FIND("-",L6,FIND("-",L6)+1),18=FIND("-",L6,FIND("-",L6,FIND("-",L6)+1)+1),24=FIND("-",L6,FIND("-",L6,FIND("-",L6,FIND("-",L6)+1)+1)+1))</formula1>
    </dataValidation>
  </dataValidations>
  <pageMargins left="0.7" right="0.7" top="0.75" bottom="0.75" header="0.3" footer="0.3"/>
  <pageSetup paperSize="9" orientation="portrait" horizontalDpi="75" verticalDpi="75" r:id="rId1"/>
  <ignoredErrors>
    <ignoredError sqref="K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I73"/>
  <sheetViews>
    <sheetView showGridLines="0" zoomScale="135" zoomScaleNormal="135" zoomScalePageLayoutView="117" workbookViewId="0">
      <pane ySplit="3" topLeftCell="A4" activePane="bottomLeft" state="frozen"/>
      <selection pane="bottomLeft" activeCell="C11" sqref="C11"/>
    </sheetView>
  </sheetViews>
  <sheetFormatPr baseColWidth="10" defaultColWidth="8.83203125" defaultRowHeight="14"/>
  <cols>
    <col min="1" max="1" width="1.33203125" style="38" customWidth="1"/>
    <col min="2" max="2" width="26.83203125" style="38" customWidth="1"/>
    <col min="3" max="3" width="16.83203125" style="38" customWidth="1"/>
    <col min="4" max="4" width="72.83203125" style="36" customWidth="1"/>
    <col min="5" max="5" width="55.33203125" style="37" customWidth="1"/>
    <col min="6" max="6" width="41.83203125" style="38" hidden="1" customWidth="1"/>
    <col min="7" max="7" width="12.83203125" style="36" customWidth="1"/>
    <col min="8" max="8" width="12.83203125" style="38" customWidth="1"/>
    <col min="9" max="16384" width="8.83203125" style="38"/>
  </cols>
  <sheetData>
    <row r="1" spans="2:9" ht="48" customHeight="1">
      <c r="B1" s="35"/>
      <c r="C1" s="35"/>
      <c r="D1" s="36" t="s">
        <v>2</v>
      </c>
    </row>
    <row r="2" spans="2:9" ht="2.25" customHeight="1" thickBot="1"/>
    <row r="3" spans="2:9" s="40" customFormat="1" ht="52" customHeight="1" thickBot="1">
      <c r="B3" s="301" t="s">
        <v>339</v>
      </c>
      <c r="C3" s="302"/>
      <c r="D3" s="302"/>
      <c r="E3" s="302"/>
      <c r="F3" s="303"/>
      <c r="G3" s="194"/>
      <c r="H3" s="195"/>
      <c r="I3" s="195"/>
    </row>
    <row r="4" spans="2:9" s="40" customFormat="1" ht="4" customHeight="1">
      <c r="B4" s="39"/>
      <c r="C4" s="39"/>
      <c r="G4" s="38"/>
      <c r="H4" s="38"/>
    </row>
    <row r="5" spans="2:9" s="55" customFormat="1" ht="4" customHeight="1" thickBot="1">
      <c r="B5" s="56"/>
      <c r="C5" s="56"/>
    </row>
    <row r="6" spans="2:9" s="63" customFormat="1" ht="18">
      <c r="B6" s="67" t="s">
        <v>18</v>
      </c>
      <c r="C6" s="133"/>
      <c r="D6" s="134"/>
      <c r="E6" s="135"/>
      <c r="F6" s="136"/>
    </row>
    <row r="7" spans="2:9" s="63" customFormat="1" ht="16" customHeight="1">
      <c r="B7" s="45" t="s">
        <v>17</v>
      </c>
      <c r="C7" s="46" t="s">
        <v>96</v>
      </c>
      <c r="D7" s="46" t="s">
        <v>5</v>
      </c>
      <c r="E7" s="46" t="s">
        <v>154</v>
      </c>
      <c r="F7" s="47"/>
    </row>
    <row r="8" spans="2:9" s="63" customFormat="1" ht="30" customHeight="1">
      <c r="B8" s="49" t="s">
        <v>11</v>
      </c>
      <c r="C8" s="201"/>
      <c r="D8" s="50" t="s">
        <v>341</v>
      </c>
      <c r="E8" s="51" t="s">
        <v>155</v>
      </c>
      <c r="F8" s="180" t="s">
        <v>7</v>
      </c>
    </row>
    <row r="9" spans="2:9" s="63" customFormat="1" ht="30" customHeight="1">
      <c r="B9" s="49" t="s">
        <v>86</v>
      </c>
      <c r="C9" s="176"/>
      <c r="D9" s="50" t="s">
        <v>169</v>
      </c>
      <c r="E9" s="51" t="s">
        <v>155</v>
      </c>
      <c r="F9" s="180" t="s">
        <v>7</v>
      </c>
    </row>
    <row r="10" spans="2:9" s="63" customFormat="1" ht="30" customHeight="1">
      <c r="B10" s="49" t="s">
        <v>11</v>
      </c>
      <c r="C10" s="185"/>
      <c r="D10" s="50" t="s">
        <v>170</v>
      </c>
      <c r="E10" s="51" t="s">
        <v>155</v>
      </c>
      <c r="F10" s="180" t="s">
        <v>7</v>
      </c>
    </row>
    <row r="11" spans="2:9" s="63" customFormat="1" ht="30" customHeight="1">
      <c r="B11" s="49" t="s">
        <v>87</v>
      </c>
      <c r="C11" s="185"/>
      <c r="D11" s="50" t="s">
        <v>88</v>
      </c>
      <c r="E11" s="51" t="s">
        <v>155</v>
      </c>
      <c r="F11" s="180"/>
    </row>
    <row r="12" spans="2:9" s="63" customFormat="1" ht="30" customHeight="1">
      <c r="B12" s="49" t="s">
        <v>87</v>
      </c>
      <c r="C12" s="209"/>
      <c r="D12" s="50" t="s">
        <v>372</v>
      </c>
      <c r="E12" s="51" t="s">
        <v>155</v>
      </c>
      <c r="F12" s="180"/>
    </row>
    <row r="13" spans="2:9" s="63" customFormat="1" ht="30" customHeight="1">
      <c r="B13" s="49" t="s">
        <v>87</v>
      </c>
      <c r="C13" s="207"/>
      <c r="D13" s="50" t="s">
        <v>361</v>
      </c>
      <c r="E13" s="51" t="s">
        <v>155</v>
      </c>
      <c r="F13" s="180" t="s">
        <v>7</v>
      </c>
    </row>
    <row r="14" spans="2:9" s="63" customFormat="1" ht="16" customHeight="1">
      <c r="B14" s="304"/>
      <c r="C14" s="305"/>
      <c r="D14" s="305"/>
      <c r="E14" s="305"/>
      <c r="F14" s="306"/>
      <c r="G14" s="170"/>
    </row>
    <row r="15" spans="2:9" s="63" customFormat="1" ht="30" customHeight="1">
      <c r="B15" s="49" t="s">
        <v>87</v>
      </c>
      <c r="C15" s="176"/>
      <c r="D15" s="50" t="s">
        <v>232</v>
      </c>
      <c r="E15" s="51" t="s">
        <v>155</v>
      </c>
      <c r="F15" s="180" t="s">
        <v>7</v>
      </c>
      <c r="G15" s="170"/>
    </row>
    <row r="16" spans="2:9" s="63" customFormat="1" ht="30" customHeight="1">
      <c r="B16" s="49" t="s">
        <v>11</v>
      </c>
      <c r="C16" s="176"/>
      <c r="D16" s="50" t="s">
        <v>233</v>
      </c>
      <c r="E16" s="51" t="s">
        <v>155</v>
      </c>
      <c r="F16" s="180" t="s">
        <v>7</v>
      </c>
      <c r="G16" s="170"/>
    </row>
    <row r="17" spans="2:7" s="48" customFormat="1" ht="16" customHeight="1">
      <c r="B17" s="304" t="s">
        <v>192</v>
      </c>
      <c r="C17" s="305"/>
      <c r="D17" s="305"/>
      <c r="E17" s="305"/>
      <c r="F17" s="306"/>
      <c r="G17" s="53"/>
    </row>
    <row r="18" spans="2:7" s="63" customFormat="1" ht="30" customHeight="1">
      <c r="B18" s="49" t="s">
        <v>11</v>
      </c>
      <c r="C18" s="188"/>
      <c r="D18" s="50" t="s">
        <v>193</v>
      </c>
      <c r="E18" s="51" t="s">
        <v>155</v>
      </c>
      <c r="F18" s="52" t="s">
        <v>7</v>
      </c>
    </row>
    <row r="19" spans="2:7" s="63" customFormat="1" ht="30" customHeight="1">
      <c r="B19" s="49" t="s">
        <v>191</v>
      </c>
      <c r="C19" s="188"/>
      <c r="D19" s="50" t="s">
        <v>190</v>
      </c>
      <c r="E19" s="51" t="s">
        <v>155</v>
      </c>
      <c r="F19" s="52" t="s">
        <v>7</v>
      </c>
    </row>
    <row r="20" spans="2:7" s="63" customFormat="1" ht="30" customHeight="1">
      <c r="B20" s="49" t="s">
        <v>87</v>
      </c>
      <c r="C20" s="188"/>
      <c r="D20" s="50" t="s">
        <v>194</v>
      </c>
      <c r="E20" s="51" t="s">
        <v>155</v>
      </c>
      <c r="F20" s="52" t="s">
        <v>7</v>
      </c>
    </row>
    <row r="21" spans="2:7" s="63" customFormat="1" ht="30" customHeight="1" thickBot="1">
      <c r="B21" s="205" t="s">
        <v>214</v>
      </c>
      <c r="C21" s="193"/>
      <c r="D21" s="159" t="s">
        <v>308</v>
      </c>
      <c r="E21" s="160" t="s">
        <v>155</v>
      </c>
      <c r="F21" s="161" t="s">
        <v>7</v>
      </c>
    </row>
    <row r="22" spans="2:7" s="48" customFormat="1" ht="13">
      <c r="D22" s="53"/>
      <c r="E22" s="54"/>
      <c r="G22" s="53"/>
    </row>
    <row r="23" spans="2:7" s="48" customFormat="1" ht="13">
      <c r="D23" s="53"/>
      <c r="E23" s="54"/>
      <c r="G23" s="53"/>
    </row>
    <row r="24" spans="2:7" s="48" customFormat="1" ht="13">
      <c r="D24" s="53"/>
      <c r="E24" s="54"/>
      <c r="G24" s="53"/>
    </row>
    <row r="25" spans="2:7" s="48" customFormat="1" ht="13">
      <c r="D25" s="53"/>
      <c r="E25" s="54"/>
      <c r="G25" s="53"/>
    </row>
    <row r="26" spans="2:7" s="48" customFormat="1" ht="13">
      <c r="D26" s="53"/>
      <c r="E26" s="54"/>
      <c r="G26" s="53"/>
    </row>
    <row r="27" spans="2:7" s="48" customFormat="1" ht="13">
      <c r="D27" s="53"/>
      <c r="E27" s="54"/>
      <c r="G27" s="53"/>
    </row>
    <row r="28" spans="2:7" s="48" customFormat="1" ht="13">
      <c r="D28" s="53"/>
      <c r="E28" s="54"/>
      <c r="G28" s="53"/>
    </row>
    <row r="29" spans="2:7" s="48" customFormat="1" ht="13">
      <c r="D29" s="53"/>
      <c r="E29" s="54"/>
      <c r="G29" s="53"/>
    </row>
    <row r="30" spans="2:7" s="48" customFormat="1" ht="13">
      <c r="D30" s="53"/>
      <c r="E30" s="54"/>
      <c r="G30" s="53"/>
    </row>
    <row r="31" spans="2:7" s="48" customFormat="1" ht="13">
      <c r="D31" s="53"/>
      <c r="E31" s="54"/>
      <c r="G31" s="53"/>
    </row>
    <row r="32" spans="2:7" s="48" customFormat="1" ht="13">
      <c r="D32" s="53"/>
      <c r="E32" s="54"/>
      <c r="G32" s="53"/>
    </row>
    <row r="33" spans="4:7" s="48" customFormat="1" ht="13">
      <c r="D33" s="53"/>
      <c r="E33" s="54"/>
      <c r="G33" s="53"/>
    </row>
    <row r="34" spans="4:7" s="48" customFormat="1" ht="13">
      <c r="D34" s="53"/>
      <c r="E34" s="54"/>
      <c r="G34" s="53"/>
    </row>
    <row r="35" spans="4:7" s="41" customFormat="1">
      <c r="D35" s="42"/>
      <c r="E35" s="43"/>
      <c r="G35" s="42"/>
    </row>
    <row r="36" spans="4:7" s="41" customFormat="1">
      <c r="D36" s="42"/>
      <c r="E36" s="43"/>
      <c r="G36" s="42"/>
    </row>
    <row r="37" spans="4:7" s="41" customFormat="1">
      <c r="D37" s="42"/>
      <c r="E37" s="43"/>
      <c r="G37" s="42"/>
    </row>
    <row r="38" spans="4:7" s="41" customFormat="1">
      <c r="D38" s="42"/>
      <c r="E38" s="43"/>
      <c r="G38" s="42"/>
    </row>
    <row r="39" spans="4:7" s="41" customFormat="1">
      <c r="D39" s="42"/>
      <c r="E39" s="43"/>
      <c r="G39" s="42"/>
    </row>
    <row r="40" spans="4:7" s="41" customFormat="1">
      <c r="D40" s="42"/>
      <c r="E40" s="43"/>
      <c r="G40" s="42"/>
    </row>
    <row r="41" spans="4:7" s="41" customFormat="1">
      <c r="D41" s="42"/>
      <c r="E41" s="43"/>
      <c r="G41" s="42"/>
    </row>
    <row r="42" spans="4:7" s="41" customFormat="1">
      <c r="D42" s="42"/>
      <c r="E42" s="43"/>
      <c r="G42" s="42"/>
    </row>
    <row r="43" spans="4:7" s="41" customFormat="1">
      <c r="D43" s="42"/>
      <c r="E43" s="43"/>
      <c r="G43" s="42"/>
    </row>
    <row r="44" spans="4:7" s="41" customFormat="1">
      <c r="D44" s="42"/>
      <c r="E44" s="43"/>
      <c r="G44" s="42"/>
    </row>
    <row r="45" spans="4:7" s="41" customFormat="1">
      <c r="D45" s="42"/>
      <c r="E45" s="43"/>
      <c r="G45" s="42"/>
    </row>
    <row r="46" spans="4:7" s="41" customFormat="1">
      <c r="D46" s="42"/>
      <c r="E46" s="43"/>
      <c r="G46" s="36"/>
    </row>
    <row r="47" spans="4:7" s="41" customFormat="1">
      <c r="D47" s="42"/>
      <c r="E47" s="43"/>
      <c r="G47" s="36"/>
    </row>
    <row r="48" spans="4:7" s="41" customFormat="1">
      <c r="D48" s="42"/>
      <c r="E48" s="43"/>
      <c r="G48" s="36"/>
    </row>
    <row r="49" spans="2:6">
      <c r="B49" s="41"/>
      <c r="C49" s="41"/>
      <c r="D49" s="42"/>
      <c r="E49" s="43"/>
      <c r="F49" s="41"/>
    </row>
    <row r="50" spans="2:6">
      <c r="B50" s="41"/>
      <c r="C50" s="41"/>
      <c r="D50" s="42"/>
      <c r="E50" s="43"/>
      <c r="F50" s="41"/>
    </row>
    <row r="51" spans="2:6">
      <c r="B51" s="41"/>
      <c r="C51" s="41"/>
      <c r="D51" s="42"/>
      <c r="E51" s="43"/>
      <c r="F51" s="41"/>
    </row>
    <row r="52" spans="2:6">
      <c r="B52" s="41"/>
      <c r="C52" s="41"/>
      <c r="D52" s="42"/>
      <c r="E52" s="43"/>
      <c r="F52" s="41"/>
    </row>
    <row r="53" spans="2:6">
      <c r="B53" s="41"/>
      <c r="C53" s="41"/>
      <c r="D53" s="42"/>
      <c r="E53" s="43"/>
      <c r="F53" s="41"/>
    </row>
    <row r="54" spans="2:6">
      <c r="B54" s="41"/>
      <c r="C54" s="41"/>
      <c r="D54" s="42"/>
      <c r="E54" s="43"/>
      <c r="F54" s="41"/>
    </row>
    <row r="55" spans="2:6">
      <c r="B55" s="41"/>
      <c r="C55" s="41"/>
      <c r="D55" s="42"/>
      <c r="E55" s="43"/>
      <c r="F55" s="41"/>
    </row>
    <row r="56" spans="2:6">
      <c r="B56" s="41"/>
      <c r="C56" s="41"/>
      <c r="D56" s="42"/>
      <c r="E56" s="43"/>
      <c r="F56" s="41"/>
    </row>
    <row r="57" spans="2:6">
      <c r="B57" s="41"/>
      <c r="C57" s="41"/>
      <c r="D57" s="42"/>
      <c r="E57" s="43"/>
      <c r="F57" s="41"/>
    </row>
    <row r="58" spans="2:6">
      <c r="B58" s="41"/>
      <c r="C58" s="41"/>
      <c r="D58" s="42"/>
      <c r="E58" s="43"/>
      <c r="F58" s="41"/>
    </row>
    <row r="59" spans="2:6">
      <c r="B59" s="41"/>
      <c r="C59" s="41"/>
      <c r="D59" s="42"/>
      <c r="E59" s="43"/>
      <c r="F59" s="41"/>
    </row>
    <row r="60" spans="2:6">
      <c r="B60" s="41"/>
      <c r="C60" s="41"/>
      <c r="D60" s="42"/>
      <c r="E60" s="43"/>
      <c r="F60" s="41"/>
    </row>
    <row r="61" spans="2:6">
      <c r="B61" s="41"/>
      <c r="C61" s="41"/>
      <c r="D61" s="42"/>
      <c r="E61" s="43"/>
      <c r="F61" s="41"/>
    </row>
    <row r="62" spans="2:6">
      <c r="B62" s="41"/>
      <c r="C62" s="41"/>
      <c r="D62" s="42"/>
      <c r="E62" s="43"/>
      <c r="F62" s="41"/>
    </row>
    <row r="63" spans="2:6">
      <c r="B63" s="41"/>
      <c r="C63" s="41"/>
      <c r="D63" s="42"/>
      <c r="E63" s="43"/>
      <c r="F63" s="41"/>
    </row>
    <row r="64" spans="2:6">
      <c r="B64" s="41"/>
      <c r="C64" s="41"/>
      <c r="D64" s="42"/>
      <c r="E64" s="43"/>
      <c r="F64" s="41"/>
    </row>
    <row r="65" spans="2:6">
      <c r="B65" s="41"/>
      <c r="C65" s="41"/>
      <c r="D65" s="42"/>
      <c r="E65" s="43"/>
      <c r="F65" s="41"/>
    </row>
    <row r="66" spans="2:6">
      <c r="B66" s="41"/>
      <c r="C66" s="41"/>
      <c r="D66" s="42"/>
      <c r="E66" s="43"/>
      <c r="F66" s="41"/>
    </row>
    <row r="67" spans="2:6">
      <c r="B67" s="41"/>
      <c r="C67" s="41"/>
      <c r="D67" s="42"/>
      <c r="E67" s="43"/>
      <c r="F67" s="41"/>
    </row>
    <row r="68" spans="2:6">
      <c r="B68" s="41"/>
      <c r="C68" s="41"/>
      <c r="D68" s="42"/>
      <c r="E68" s="43"/>
      <c r="F68" s="41"/>
    </row>
    <row r="69" spans="2:6">
      <c r="B69" s="41"/>
      <c r="C69" s="41"/>
      <c r="D69" s="42"/>
      <c r="E69" s="43"/>
      <c r="F69" s="41"/>
    </row>
    <row r="70" spans="2:6">
      <c r="B70" s="41"/>
      <c r="C70" s="41"/>
      <c r="D70" s="42"/>
      <c r="E70" s="43"/>
      <c r="F70" s="41"/>
    </row>
    <row r="71" spans="2:6">
      <c r="B71" s="41"/>
      <c r="C71" s="41"/>
      <c r="D71" s="42"/>
      <c r="E71" s="43"/>
      <c r="F71" s="41"/>
    </row>
    <row r="72" spans="2:6">
      <c r="B72" s="41"/>
      <c r="C72" s="41"/>
      <c r="D72" s="42"/>
      <c r="E72" s="43"/>
      <c r="F72" s="41"/>
    </row>
    <row r="73" spans="2:6">
      <c r="B73" s="41"/>
      <c r="C73" s="41"/>
      <c r="D73" s="42"/>
      <c r="E73" s="43"/>
      <c r="F73" s="41"/>
    </row>
  </sheetData>
  <sheetProtection sheet="1" objects="1" scenarios="1"/>
  <mergeCells count="3">
    <mergeCell ref="B3:F3"/>
    <mergeCell ref="B17:F17"/>
    <mergeCell ref="B14:F14"/>
  </mergeCells>
  <conditionalFormatting sqref="C9">
    <cfRule type="expression" dxfId="181" priority="119">
      <formula>LEN(C9)&lt;8</formula>
    </cfRule>
  </conditionalFormatting>
  <conditionalFormatting sqref="C15:C16">
    <cfRule type="expression" dxfId="180" priority="11">
      <formula>LEN(C15)&lt;8</formula>
    </cfRule>
  </conditionalFormatting>
  <conditionalFormatting sqref="C11">
    <cfRule type="expression" dxfId="179" priority="9">
      <formula>LEN(C11)&lt;8</formula>
    </cfRule>
  </conditionalFormatting>
  <conditionalFormatting sqref="C10">
    <cfRule type="expression" dxfId="178" priority="8">
      <formula>LEN(C10)&lt;8</formula>
    </cfRule>
  </conditionalFormatting>
  <conditionalFormatting sqref="C18:C21">
    <cfRule type="expression" dxfId="177" priority="7">
      <formula>LEN(C18)&lt;8</formula>
    </cfRule>
  </conditionalFormatting>
  <conditionalFormatting sqref="C8">
    <cfRule type="expression" dxfId="176" priority="5">
      <formula>LEN(C8)&gt;40</formula>
    </cfRule>
    <cfRule type="expression" dxfId="175" priority="6">
      <formula>LEN(C8)&lt;8</formula>
    </cfRule>
  </conditionalFormatting>
  <conditionalFormatting sqref="C13">
    <cfRule type="expression" dxfId="174" priority="2">
      <formula>LEN(C13)&lt;12</formula>
    </cfRule>
  </conditionalFormatting>
  <conditionalFormatting sqref="C12">
    <cfRule type="expression" dxfId="173" priority="1">
      <formula>LEN(C12)&lt;8</formula>
    </cfRule>
  </conditionalFormatting>
  <dataValidations count="4">
    <dataValidation type="textLength" allowBlank="1" showInputMessage="1" showErrorMessage="1" errorTitle="Password Length Error" error="Password must be minimum of 8 and maximum 12 characters length" promptTitle="Password Policy" prompt="8-12 character length, atleast one Uppercase, lowercase, number &amp; special character (e.g: @!#$%?^)" sqref="C15 C12 C11 C10" xr:uid="{AA3DCDA1-51A3-1B4F-BA51-00B31742B9AE}">
      <formula1>8</formula1>
      <formula2>12</formula2>
    </dataValidation>
    <dataValidation type="textLength" allowBlank="1" showInputMessage="1" showErrorMessage="1" errorTitle="Password Length Error" error="Password must be minimum of 8 and maximum 20 characters length" promptTitle="Password Policy" prompt="8-20 character length, atleast one Uppercase, lowercase, number &amp; special character (e.g: @!#$%?^)" sqref="C18:C21 C9" xr:uid="{42594C90-3A27-2F49-8094-3AF94BD00ED5}">
      <formula1>8</formula1>
      <formula2>20</formula2>
    </dataValidation>
    <dataValidation type="textLength" allowBlank="1" showInputMessage="1" showErrorMessage="1" errorTitle="Password Length Error" error="Password must be minimum of 8 and maximum 12 characters length" promptTitle="Password Policy" prompt="8-12 character length, atleast one Uppercase, lowercase, number &amp; special character (e.g: @!#$%?^)_x000a_Not Supported: Adjacent repeating of characters " sqref="C16" xr:uid="{4249498A-E86F-3C40-A9D1-8945D75D9F37}">
      <formula1>8</formula1>
      <formula2>12</formula2>
    </dataValidation>
    <dataValidation type="textLength" allowBlank="1" showInputMessage="1" showErrorMessage="1" errorTitle="Password Length Error" error="Password must be minimum of 12 and maximum 255 characters length" promptTitle="Password Policy" prompt="12-255 character length, atleast one Uppercase, lowercase, number &amp; special character (e.g: @!#$%?^)" sqref="C13" xr:uid="{7D18767F-9E97-DE42-9A14-DD8B7AAD2148}">
      <formula1>12</formula1>
      <formula2>255</formula2>
    </dataValidation>
  </dataValidations>
  <printOptions horizontalCentered="1"/>
  <pageMargins left="0.5" right="0.5" top="0.5" bottom="0.5" header="0.25" footer="0.25"/>
  <pageSetup orientation="portrait" r:id="rId1"/>
  <headerFooter alignWithMargins="0">
    <oddFooter>&amp;L&amp;8http://www.vertex42.com/ExcelTemplates/spring-cleaning-checklist.html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64"/>
  <sheetViews>
    <sheetView zoomScale="120" zoomScaleNormal="120" workbookViewId="0">
      <pane ySplit="4" topLeftCell="A5" activePane="bottomLeft" state="frozen"/>
      <selection pane="bottomLeft" activeCell="J11" sqref="J11"/>
    </sheetView>
  </sheetViews>
  <sheetFormatPr baseColWidth="10" defaultColWidth="12.33203125" defaultRowHeight="13"/>
  <cols>
    <col min="1" max="1" width="1.6640625" style="57" customWidth="1"/>
    <col min="2" max="2" width="9.33203125" style="64" customWidth="1"/>
    <col min="3" max="3" width="32.6640625" style="64" customWidth="1"/>
    <col min="4" max="5" width="17.6640625" style="64" customWidth="1"/>
    <col min="6" max="6" width="7.33203125" style="64" customWidth="1"/>
    <col min="7" max="7" width="2.6640625" style="57" customWidth="1"/>
    <col min="8" max="11" width="27.6640625" style="64" customWidth="1"/>
    <col min="12" max="15" width="27.6640625" style="57" customWidth="1"/>
    <col min="16" max="28" width="12.33203125" style="57"/>
    <col min="29" max="16384" width="12.33203125" style="64"/>
  </cols>
  <sheetData>
    <row r="1" spans="1:28" s="57" customFormat="1" ht="48" customHeight="1">
      <c r="L1" s="121"/>
      <c r="M1" s="121"/>
      <c r="N1" s="121"/>
      <c r="O1" s="121"/>
    </row>
    <row r="2" spans="1:28" s="58" customFormat="1" ht="2.25" customHeight="1" thickBot="1">
      <c r="C2" s="59"/>
      <c r="D2" s="60"/>
      <c r="E2" s="60"/>
    </row>
    <row r="3" spans="1:28" s="58" customFormat="1" ht="32.25" customHeight="1" thickBot="1">
      <c r="B3" s="310" t="s">
        <v>304</v>
      </c>
      <c r="C3" s="311"/>
      <c r="D3" s="311"/>
      <c r="E3" s="311"/>
      <c r="F3" s="311"/>
      <c r="G3" s="311"/>
      <c r="H3" s="311"/>
      <c r="I3" s="311"/>
      <c r="J3" s="311"/>
      <c r="K3" s="312"/>
    </row>
    <row r="4" spans="1:28" s="63" customFormat="1" ht="4" customHeight="1" thickBot="1">
      <c r="A4" s="61"/>
      <c r="B4" s="61"/>
      <c r="C4" s="62"/>
      <c r="D4" s="62"/>
      <c r="E4" s="62"/>
      <c r="F4" s="61"/>
      <c r="G4" s="61"/>
      <c r="H4" s="61"/>
      <c r="I4" s="61"/>
      <c r="J4" s="61"/>
      <c r="K4" s="58"/>
      <c r="L4" s="58"/>
      <c r="M4" s="61"/>
      <c r="N4" s="61"/>
      <c r="O4" s="61"/>
      <c r="P4" s="61"/>
      <c r="Q4" s="61"/>
      <c r="R4" s="61"/>
      <c r="S4" s="61"/>
      <c r="T4" s="61"/>
      <c r="U4" s="61"/>
      <c r="V4" s="61"/>
      <c r="W4" s="61"/>
      <c r="X4" s="61"/>
      <c r="Y4" s="61"/>
      <c r="Z4" s="61"/>
      <c r="AA4" s="61"/>
    </row>
    <row r="5" spans="1:28" s="123" customFormat="1" ht="16" customHeight="1" thickBot="1">
      <c r="A5" s="121"/>
      <c r="B5" s="313" t="s">
        <v>375</v>
      </c>
      <c r="C5" s="314"/>
      <c r="D5" s="314"/>
      <c r="E5" s="314"/>
      <c r="F5" s="315"/>
      <c r="G5" s="122"/>
      <c r="H5" s="316" t="s">
        <v>374</v>
      </c>
      <c r="I5" s="317"/>
      <c r="J5" s="317"/>
      <c r="K5" s="317"/>
      <c r="L5" s="121"/>
      <c r="M5" s="121"/>
      <c r="N5" s="121"/>
      <c r="O5" s="121"/>
      <c r="P5" s="121"/>
      <c r="Q5" s="121"/>
      <c r="R5" s="121"/>
      <c r="S5" s="121"/>
      <c r="T5" s="121"/>
      <c r="U5" s="121"/>
      <c r="V5" s="121"/>
      <c r="W5" s="121"/>
      <c r="X5" s="121"/>
      <c r="Y5" s="121"/>
      <c r="Z5" s="121"/>
      <c r="AA5" s="121"/>
      <c r="AB5" s="121"/>
    </row>
    <row r="6" spans="1:28" s="123" customFormat="1" ht="16" customHeight="1">
      <c r="A6" s="121"/>
      <c r="B6" s="124" t="s">
        <v>4</v>
      </c>
      <c r="C6" s="125" t="s">
        <v>95</v>
      </c>
      <c r="D6" s="125" t="s">
        <v>126</v>
      </c>
      <c r="E6" s="125" t="s">
        <v>6</v>
      </c>
      <c r="F6" s="126" t="s">
        <v>25</v>
      </c>
      <c r="G6" s="127"/>
      <c r="H6" s="212" t="s">
        <v>269</v>
      </c>
      <c r="I6" s="213" t="s">
        <v>270</v>
      </c>
      <c r="J6" s="213" t="s">
        <v>271</v>
      </c>
      <c r="K6" s="214" t="s">
        <v>272</v>
      </c>
      <c r="L6" s="121"/>
      <c r="M6" s="121"/>
      <c r="N6" s="121"/>
      <c r="O6" s="121"/>
      <c r="P6" s="121"/>
      <c r="Q6" s="121"/>
      <c r="R6" s="121"/>
      <c r="S6" s="121"/>
      <c r="T6" s="121"/>
      <c r="U6" s="121"/>
      <c r="V6" s="121"/>
      <c r="W6" s="121"/>
      <c r="X6" s="121"/>
      <c r="Y6" s="121"/>
      <c r="Z6" s="121"/>
      <c r="AA6" s="121"/>
      <c r="AB6" s="121"/>
    </row>
    <row r="7" spans="1:28" s="123" customFormat="1" ht="16" customHeight="1">
      <c r="A7" s="121"/>
      <c r="B7" s="234">
        <v>1611</v>
      </c>
      <c r="C7" s="181" t="s">
        <v>301</v>
      </c>
      <c r="D7" s="232" t="s">
        <v>250</v>
      </c>
      <c r="E7" s="232" t="s">
        <v>314</v>
      </c>
      <c r="F7" s="178">
        <v>1500</v>
      </c>
      <c r="G7" s="128"/>
      <c r="H7" s="234" t="s">
        <v>265</v>
      </c>
      <c r="I7" s="232" t="s">
        <v>266</v>
      </c>
      <c r="J7" s="232" t="s">
        <v>267</v>
      </c>
      <c r="K7" s="237" t="s">
        <v>268</v>
      </c>
      <c r="L7" s="121"/>
      <c r="M7" s="121"/>
      <c r="N7" s="121"/>
      <c r="O7" s="121"/>
      <c r="P7" s="121"/>
      <c r="Q7" s="121"/>
      <c r="R7" s="121"/>
      <c r="S7" s="121"/>
      <c r="T7" s="121"/>
      <c r="U7" s="121"/>
      <c r="V7" s="121"/>
      <c r="W7" s="121"/>
      <c r="X7" s="121"/>
      <c r="Y7" s="121"/>
      <c r="Z7" s="121"/>
      <c r="AA7" s="121"/>
      <c r="AB7" s="121"/>
    </row>
    <row r="8" spans="1:28" s="123" customFormat="1" ht="16" customHeight="1">
      <c r="A8" s="121"/>
      <c r="B8" s="235">
        <v>1612</v>
      </c>
      <c r="C8" s="129" t="s">
        <v>302</v>
      </c>
      <c r="D8" s="233" t="s">
        <v>251</v>
      </c>
      <c r="E8" s="232" t="s">
        <v>252</v>
      </c>
      <c r="F8" s="177">
        <v>9000</v>
      </c>
      <c r="G8" s="128"/>
      <c r="H8" s="210" t="s">
        <v>380</v>
      </c>
      <c r="I8" s="233" t="s">
        <v>273</v>
      </c>
      <c r="J8" s="211" t="s">
        <v>382</v>
      </c>
      <c r="K8" s="239" t="s">
        <v>274</v>
      </c>
      <c r="L8" s="121"/>
      <c r="M8" s="121"/>
      <c r="N8" s="121"/>
      <c r="O8" s="121"/>
      <c r="P8" s="121"/>
      <c r="Q8" s="121"/>
      <c r="R8" s="121"/>
      <c r="S8" s="121"/>
      <c r="T8" s="121"/>
      <c r="U8" s="121"/>
      <c r="V8" s="121"/>
      <c r="W8" s="121"/>
      <c r="X8" s="121"/>
      <c r="Y8" s="121"/>
      <c r="Z8" s="121"/>
      <c r="AA8" s="121"/>
      <c r="AB8" s="121"/>
    </row>
    <row r="9" spans="1:28" s="123" customFormat="1" ht="16" customHeight="1" thickBot="1">
      <c r="A9" s="121"/>
      <c r="B9" s="235">
        <v>1613</v>
      </c>
      <c r="C9" s="129" t="s">
        <v>303</v>
      </c>
      <c r="D9" s="233" t="s">
        <v>253</v>
      </c>
      <c r="E9" s="232" t="s">
        <v>254</v>
      </c>
      <c r="F9" s="177">
        <v>9000</v>
      </c>
      <c r="G9" s="128"/>
      <c r="H9" s="215" t="s">
        <v>381</v>
      </c>
      <c r="I9" s="238" t="s">
        <v>275</v>
      </c>
      <c r="J9" s="216" t="s">
        <v>383</v>
      </c>
      <c r="K9" s="240" t="s">
        <v>276</v>
      </c>
      <c r="L9" s="121"/>
      <c r="M9" s="121"/>
      <c r="N9" s="121"/>
      <c r="O9" s="121"/>
      <c r="P9" s="121"/>
      <c r="Q9" s="121"/>
      <c r="R9" s="121"/>
      <c r="S9" s="121"/>
      <c r="T9" s="121"/>
      <c r="U9" s="121"/>
      <c r="V9" s="121"/>
      <c r="W9" s="121"/>
      <c r="X9" s="121"/>
      <c r="Y9" s="121"/>
      <c r="Z9" s="121"/>
      <c r="AA9" s="121"/>
      <c r="AB9" s="121"/>
    </row>
    <row r="10" spans="1:28" s="123" customFormat="1" ht="16" customHeight="1" thickBot="1">
      <c r="A10" s="121"/>
      <c r="B10" s="236">
        <v>1614</v>
      </c>
      <c r="C10" s="182" t="s">
        <v>207</v>
      </c>
      <c r="D10" s="241" t="s">
        <v>7</v>
      </c>
      <c r="E10" s="241" t="s">
        <v>7</v>
      </c>
      <c r="F10" s="179">
        <v>9000</v>
      </c>
      <c r="G10" s="128"/>
      <c r="H10" s="132"/>
      <c r="I10" s="132"/>
      <c r="J10" s="132"/>
      <c r="K10" s="132"/>
      <c r="L10" s="121"/>
      <c r="M10" s="121"/>
      <c r="N10" s="121"/>
      <c r="O10" s="121"/>
      <c r="P10" s="121"/>
      <c r="Q10" s="121"/>
      <c r="R10" s="121"/>
      <c r="S10" s="121"/>
      <c r="T10" s="121"/>
      <c r="U10" s="121"/>
      <c r="V10" s="121"/>
      <c r="W10" s="121"/>
      <c r="X10" s="121"/>
      <c r="Y10" s="121"/>
      <c r="Z10" s="121"/>
      <c r="AA10" s="121"/>
      <c r="AB10" s="121"/>
    </row>
    <row r="11" spans="1:28" s="121" customFormat="1" ht="16" customHeight="1" thickBot="1">
      <c r="C11" s="57"/>
      <c r="D11" s="57"/>
      <c r="E11" s="57"/>
      <c r="F11" s="130"/>
      <c r="G11" s="131"/>
      <c r="H11" s="196" t="s">
        <v>332</v>
      </c>
      <c r="I11" s="197" t="s">
        <v>343</v>
      </c>
      <c r="J11" s="198" t="s">
        <v>377</v>
      </c>
      <c r="K11" s="57"/>
      <c r="L11" s="57"/>
      <c r="M11" s="57"/>
      <c r="N11" s="57"/>
      <c r="O11" s="57"/>
    </row>
    <row r="12" spans="1:28" ht="15">
      <c r="B12" s="57"/>
      <c r="C12" s="57"/>
      <c r="D12" s="57"/>
      <c r="E12" s="57"/>
      <c r="F12" s="57"/>
      <c r="G12" s="66"/>
      <c r="H12" s="199" t="s">
        <v>333</v>
      </c>
      <c r="I12" s="307" t="s">
        <v>353</v>
      </c>
      <c r="J12" s="309"/>
      <c r="K12" s="307" t="s">
        <v>352</v>
      </c>
      <c r="L12" s="308"/>
    </row>
    <row r="13" spans="1:28" ht="16" customHeight="1">
      <c r="B13" s="57"/>
      <c r="C13" s="57"/>
      <c r="D13" s="57"/>
      <c r="E13" s="57"/>
      <c r="F13" s="57"/>
      <c r="G13" s="66"/>
      <c r="H13" s="191" t="str">
        <f>H6</f>
        <v>sfo01m01esx01</v>
      </c>
      <c r="I13" s="318" t="s">
        <v>344</v>
      </c>
      <c r="J13" s="319"/>
      <c r="K13" s="318" t="s">
        <v>348</v>
      </c>
      <c r="L13" s="323"/>
    </row>
    <row r="14" spans="1:28" ht="16" customHeight="1">
      <c r="B14" s="57"/>
      <c r="C14" s="57"/>
      <c r="D14" s="57"/>
      <c r="E14" s="57"/>
      <c r="F14" s="57"/>
      <c r="G14" s="66"/>
      <c r="H14" s="191" t="str">
        <f>I6</f>
        <v>sfo01m01esx02</v>
      </c>
      <c r="I14" s="318" t="s">
        <v>345</v>
      </c>
      <c r="J14" s="319"/>
      <c r="K14" s="318" t="s">
        <v>349</v>
      </c>
      <c r="L14" s="323"/>
    </row>
    <row r="15" spans="1:28" ht="16" customHeight="1">
      <c r="B15" s="57"/>
      <c r="C15" s="57"/>
      <c r="D15" s="57"/>
      <c r="E15" s="57"/>
      <c r="F15" s="57"/>
      <c r="G15" s="66"/>
      <c r="H15" s="191" t="str">
        <f>J6</f>
        <v>sfo01m01esx03</v>
      </c>
      <c r="I15" s="318" t="s">
        <v>346</v>
      </c>
      <c r="J15" s="319"/>
      <c r="K15" s="318" t="s">
        <v>350</v>
      </c>
      <c r="L15" s="323"/>
    </row>
    <row r="16" spans="1:28" ht="16" customHeight="1" thickBot="1">
      <c r="B16" s="57"/>
      <c r="C16" s="57"/>
      <c r="D16" s="57"/>
      <c r="E16" s="57"/>
      <c r="F16" s="57"/>
      <c r="G16" s="66"/>
      <c r="H16" s="192" t="str">
        <f>K6</f>
        <v>sfo01m01esx04</v>
      </c>
      <c r="I16" s="320" t="s">
        <v>347</v>
      </c>
      <c r="J16" s="321"/>
      <c r="K16" s="320" t="s">
        <v>351</v>
      </c>
      <c r="L16" s="322"/>
    </row>
    <row r="17" spans="2:11">
      <c r="B17" s="57"/>
      <c r="C17" s="57"/>
      <c r="D17" s="57"/>
      <c r="E17" s="57"/>
      <c r="F17" s="57"/>
      <c r="G17" s="65"/>
      <c r="H17" s="57"/>
      <c r="I17" s="57"/>
      <c r="J17" s="57"/>
      <c r="K17" s="57"/>
    </row>
    <row r="18" spans="2:11">
      <c r="B18" s="57"/>
      <c r="C18" s="57"/>
      <c r="D18" s="57"/>
      <c r="E18" s="57"/>
      <c r="F18" s="57"/>
      <c r="G18" s="65"/>
      <c r="H18" s="57"/>
      <c r="I18" s="57"/>
      <c r="J18" s="57"/>
      <c r="K18" s="57"/>
    </row>
    <row r="19" spans="2:11">
      <c r="B19" s="57"/>
      <c r="C19" s="57"/>
      <c r="D19" s="57"/>
      <c r="E19" s="57"/>
      <c r="F19" s="57"/>
      <c r="G19" s="66"/>
      <c r="H19" s="57"/>
      <c r="I19" s="57"/>
      <c r="J19" s="57"/>
      <c r="K19" s="57"/>
    </row>
    <row r="20" spans="2:11" s="57" customFormat="1"/>
    <row r="21" spans="2:11" s="57" customFormat="1"/>
    <row r="22" spans="2:11" s="57" customFormat="1"/>
    <row r="23" spans="2:11" s="57" customFormat="1"/>
    <row r="24" spans="2:11" s="57" customFormat="1"/>
    <row r="25" spans="2:11" s="57" customFormat="1"/>
    <row r="26" spans="2:11" s="57" customFormat="1"/>
    <row r="27" spans="2:11" s="57" customFormat="1"/>
    <row r="28" spans="2:11" s="57" customFormat="1"/>
    <row r="29" spans="2:11" s="57" customFormat="1"/>
    <row r="30" spans="2:11" s="57" customFormat="1"/>
    <row r="31" spans="2:11" s="57" customFormat="1"/>
    <row r="32" spans="2:11"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pans="2:11" s="57" customFormat="1"/>
    <row r="50" spans="2:11" s="57" customFormat="1"/>
    <row r="51" spans="2:11" s="57" customFormat="1">
      <c r="B51" s="64"/>
      <c r="C51" s="64"/>
      <c r="D51" s="64"/>
      <c r="E51" s="64"/>
    </row>
    <row r="52" spans="2:11" s="57" customFormat="1">
      <c r="B52" s="64"/>
      <c r="C52" s="64"/>
      <c r="D52" s="64"/>
      <c r="E52" s="64"/>
    </row>
    <row r="53" spans="2:11" s="57" customFormat="1">
      <c r="B53" s="64"/>
      <c r="C53" s="64"/>
      <c r="D53" s="64"/>
      <c r="E53" s="64"/>
    </row>
    <row r="54" spans="2:11" s="57" customFormat="1">
      <c r="B54" s="64"/>
      <c r="C54" s="64"/>
      <c r="D54" s="64"/>
      <c r="E54" s="64"/>
    </row>
    <row r="55" spans="2:11" s="57" customFormat="1">
      <c r="B55" s="64"/>
      <c r="C55" s="64"/>
      <c r="D55" s="64"/>
      <c r="E55" s="64"/>
    </row>
    <row r="56" spans="2:11" s="57" customFormat="1">
      <c r="B56" s="64"/>
      <c r="C56" s="64"/>
      <c r="D56" s="64"/>
      <c r="E56" s="64"/>
      <c r="H56" s="64"/>
      <c r="I56" s="64"/>
      <c r="J56" s="64"/>
      <c r="K56" s="64"/>
    </row>
    <row r="57" spans="2:11" s="57" customFormat="1">
      <c r="B57" s="64"/>
      <c r="C57" s="64"/>
      <c r="D57" s="64"/>
      <c r="E57" s="64"/>
      <c r="F57" s="64"/>
      <c r="H57" s="64"/>
      <c r="I57" s="64"/>
      <c r="J57" s="64"/>
      <c r="K57" s="64"/>
    </row>
    <row r="58" spans="2:11" s="57" customFormat="1">
      <c r="B58" s="64"/>
      <c r="C58" s="64"/>
      <c r="D58" s="64"/>
      <c r="E58" s="64"/>
      <c r="F58" s="64"/>
      <c r="H58" s="64"/>
      <c r="I58" s="64"/>
      <c r="J58" s="64"/>
      <c r="K58" s="64"/>
    </row>
    <row r="59" spans="2:11" s="57" customFormat="1">
      <c r="B59" s="64"/>
      <c r="C59" s="64"/>
      <c r="D59" s="64"/>
      <c r="E59" s="64"/>
      <c r="F59" s="64"/>
      <c r="H59" s="64"/>
      <c r="I59" s="64"/>
      <c r="J59" s="64"/>
      <c r="K59" s="64"/>
    </row>
    <row r="60" spans="2:11" s="57" customFormat="1">
      <c r="B60" s="64"/>
      <c r="C60" s="64"/>
      <c r="D60" s="64"/>
      <c r="E60" s="64"/>
      <c r="F60" s="64"/>
      <c r="H60" s="64"/>
      <c r="I60" s="64"/>
      <c r="J60" s="64"/>
      <c r="K60" s="64"/>
    </row>
    <row r="61" spans="2:11" s="57" customFormat="1">
      <c r="B61" s="64"/>
      <c r="C61" s="64"/>
      <c r="D61" s="64"/>
      <c r="E61" s="64"/>
      <c r="F61" s="64"/>
      <c r="H61" s="64"/>
      <c r="I61" s="64"/>
      <c r="J61" s="64"/>
      <c r="K61" s="64"/>
    </row>
    <row r="62" spans="2:11" s="57" customFormat="1">
      <c r="B62" s="64"/>
      <c r="C62" s="64"/>
      <c r="D62" s="64"/>
      <c r="E62" s="64"/>
      <c r="F62" s="64"/>
      <c r="H62" s="64"/>
      <c r="I62" s="64"/>
      <c r="J62" s="64"/>
      <c r="K62" s="64"/>
    </row>
    <row r="63" spans="2:11" s="57" customFormat="1">
      <c r="B63" s="64"/>
      <c r="C63" s="64"/>
      <c r="D63" s="64"/>
      <c r="E63" s="64"/>
      <c r="F63" s="64"/>
      <c r="H63" s="64"/>
      <c r="I63" s="64"/>
      <c r="J63" s="64"/>
      <c r="K63" s="64"/>
    </row>
    <row r="64" spans="2:11" s="57" customFormat="1">
      <c r="B64" s="64"/>
      <c r="C64" s="64"/>
      <c r="D64" s="64"/>
      <c r="E64" s="64"/>
      <c r="F64" s="64"/>
      <c r="H64" s="64"/>
      <c r="I64" s="64"/>
      <c r="J64" s="64"/>
      <c r="K64" s="64"/>
    </row>
  </sheetData>
  <sheetProtection sheet="1" objects="1" scenarios="1"/>
  <mergeCells count="13">
    <mergeCell ref="I13:J13"/>
    <mergeCell ref="I14:J14"/>
    <mergeCell ref="I15:J15"/>
    <mergeCell ref="I16:J16"/>
    <mergeCell ref="K16:L16"/>
    <mergeCell ref="K13:L13"/>
    <mergeCell ref="K14:L14"/>
    <mergeCell ref="K15:L15"/>
    <mergeCell ref="K12:L12"/>
    <mergeCell ref="I12:J12"/>
    <mergeCell ref="B3:K3"/>
    <mergeCell ref="B5:F5"/>
    <mergeCell ref="H5:K5"/>
  </mergeCells>
  <conditionalFormatting sqref="C7">
    <cfRule type="containsText" dxfId="172" priority="144" operator="containsText" text="n/a">
      <formula>NOT(ISERROR(SEARCH("n/a",C7)))</formula>
    </cfRule>
    <cfRule type="containsBlanks" dxfId="171" priority="147">
      <formula>LEN(TRIM(C7))=0</formula>
    </cfRule>
  </conditionalFormatting>
  <conditionalFormatting sqref="C8:C9">
    <cfRule type="containsText" dxfId="170" priority="138" operator="containsText" text="n/a">
      <formula>NOT(ISERROR(SEARCH("n/a",C8)))</formula>
    </cfRule>
    <cfRule type="containsBlanks" dxfId="169" priority="139">
      <formula>LEN(TRIM(C8))=0</formula>
    </cfRule>
  </conditionalFormatting>
  <conditionalFormatting sqref="B7">
    <cfRule type="containsText" dxfId="168" priority="128" operator="containsText" text="n/a">
      <formula>NOT(ISERROR(SEARCH("n/a",B7)))</formula>
    </cfRule>
    <cfRule type="containsBlanks" dxfId="167" priority="129">
      <formula>LEN(TRIM(B7))=0</formula>
    </cfRule>
  </conditionalFormatting>
  <conditionalFormatting sqref="D8:E8 F8:F9 I13:J16 K9 I9">
    <cfRule type="containsBlanks" dxfId="166" priority="8">
      <formula>LEN(TRIM(D8))=0</formula>
    </cfRule>
  </conditionalFormatting>
  <conditionalFormatting sqref="B8">
    <cfRule type="containsBlanks" dxfId="165" priority="124">
      <formula>LEN(TRIM(B8))=0</formula>
    </cfRule>
  </conditionalFormatting>
  <conditionalFormatting sqref="B9">
    <cfRule type="containsBlanks" dxfId="164" priority="123">
      <formula>LEN(TRIM(B9))=0</formula>
    </cfRule>
  </conditionalFormatting>
  <conditionalFormatting sqref="D7:F7 E8:E9">
    <cfRule type="containsText" dxfId="163" priority="116" operator="containsText" text="n/a">
      <formula>NOT(ISERROR(SEARCH("n/a",D7)))</formula>
    </cfRule>
    <cfRule type="containsBlanks" dxfId="162" priority="117">
      <formula>LEN(TRIM(D7))=0</formula>
    </cfRule>
  </conditionalFormatting>
  <conditionalFormatting sqref="B10">
    <cfRule type="containsBlanks" dxfId="161" priority="64">
      <formula>LEN(TRIM(B10))=0</formula>
    </cfRule>
  </conditionalFormatting>
  <conditionalFormatting sqref="D10:F10">
    <cfRule type="containsBlanks" dxfId="160" priority="22" stopIfTrue="1">
      <formula>LEN(TRIM(D10))=0</formula>
    </cfRule>
  </conditionalFormatting>
  <conditionalFormatting sqref="K13:L16">
    <cfRule type="containsBlanks" dxfId="159" priority="50">
      <formula>LEN(TRIM(K13))=0</formula>
    </cfRule>
  </conditionalFormatting>
  <conditionalFormatting sqref="H6">
    <cfRule type="expression" dxfId="158" priority="45">
      <formula>IF(H6&lt;&gt;"n/a",COUNTIF($H$6:$O$6,H6)&gt;1)</formula>
    </cfRule>
  </conditionalFormatting>
  <conditionalFormatting sqref="I6">
    <cfRule type="expression" dxfId="157" priority="44">
      <formula>IF(I6&lt;&gt;"n/a",COUNTIF($H$6:$O$6,I6)&gt;1)</formula>
    </cfRule>
  </conditionalFormatting>
  <conditionalFormatting sqref="J6">
    <cfRule type="expression" dxfId="156" priority="43">
      <formula>IF(J6&lt;&gt;"n/a",COUNTIF($H$6:$O$6,J6)&gt;1)</formula>
    </cfRule>
  </conditionalFormatting>
  <conditionalFormatting sqref="K6">
    <cfRule type="expression" dxfId="155" priority="42">
      <formula>IF(K6&lt;&gt;"n/a",COUNTIF($H$6:$O$6,K6)&gt;1)</formula>
    </cfRule>
  </conditionalFormatting>
  <conditionalFormatting sqref="H7">
    <cfRule type="expression" dxfId="154" priority="20">
      <formula>IF(H7&lt;&gt;"n/a",COUNTIF($H$7:$O$7,H7)&gt;1)</formula>
    </cfRule>
    <cfRule type="expression" dxfId="153" priority="37">
      <formula>IF(LEN(H7)-LEN(SUBSTITUTE(H7,".",""))=3,FALSE,TRUE)</formula>
    </cfRule>
  </conditionalFormatting>
  <conditionalFormatting sqref="I7">
    <cfRule type="expression" dxfId="152" priority="19">
      <formula>IF(I7&lt;&gt;"n/a",COUNTIF($H$7:$O$7,I7)&gt;1)</formula>
    </cfRule>
    <cfRule type="expression" dxfId="151" priority="36">
      <formula>IF(LEN(I7)-LEN(SUBSTITUTE(I7,".",""))=3,FALSE,TRUE)</formula>
    </cfRule>
  </conditionalFormatting>
  <conditionalFormatting sqref="J7">
    <cfRule type="expression" dxfId="150" priority="18">
      <formula>IF(J7&lt;&gt;"n/a",COUNTIF($H$7:$O$7,J7)&gt;1)</formula>
    </cfRule>
    <cfRule type="expression" dxfId="149" priority="35">
      <formula>IF(LEN(J7)-LEN(SUBSTITUTE(J7,".",""))=3,FALSE,TRUE)</formula>
    </cfRule>
  </conditionalFormatting>
  <conditionalFormatting sqref="K7">
    <cfRule type="expression" dxfId="148" priority="17">
      <formula>IF(K7&lt;&gt;"n/a",COUNTIF($H$7:$O$7,K7)&gt;1)</formula>
    </cfRule>
    <cfRule type="expression" dxfId="147" priority="34">
      <formula>IF(LEN(K7)-LEN(SUBSTITUTE(K7,".",""))=3,FALSE,TRUE)</formula>
    </cfRule>
  </conditionalFormatting>
  <conditionalFormatting sqref="E7">
    <cfRule type="expression" dxfId="146" priority="25">
      <formula>IF(LEN(E7)-LEN(SUBSTITUTE(E7,".",""))=3,FALSE,TRUE)</formula>
    </cfRule>
    <cfRule type="expression" dxfId="145" priority="659">
      <formula>$E$24="TRUE"</formula>
    </cfRule>
  </conditionalFormatting>
  <conditionalFormatting sqref="E8">
    <cfRule type="expression" dxfId="144" priority="24">
      <formula>IF(LEN(E8)-LEN(SUBSTITUTE(E8,".",""))=3,FALSE,TRUE)</formula>
    </cfRule>
  </conditionalFormatting>
  <conditionalFormatting sqref="E9">
    <cfRule type="expression" dxfId="143" priority="23">
      <formula>IF(LEN(E9)-LEN(SUBSTITUTE(E9,".",""))=3,FALSE,TRUE)</formula>
    </cfRule>
  </conditionalFormatting>
  <conditionalFormatting sqref="E10">
    <cfRule type="containsText" dxfId="142" priority="21" operator="containsText" text="n/a">
      <formula>NOT(ISERROR(SEARCH("n/a",E10)))</formula>
    </cfRule>
    <cfRule type="expression" dxfId="141" priority="62">
      <formula>IF(LEN(E10)-LEN(SUBSTITUTE(E10,".",""))=3,FALSE,TRUE)</formula>
    </cfRule>
  </conditionalFormatting>
  <conditionalFormatting sqref="I8">
    <cfRule type="containsBlanks" dxfId="140" priority="14">
      <formula>LEN(TRIM(I8))=0</formula>
    </cfRule>
    <cfRule type="containsText" dxfId="139" priority="15" operator="containsText" text="n/a">
      <formula>NOT(ISERROR(SEARCH("n/a",I8)))</formula>
    </cfRule>
    <cfRule type="expression" dxfId="138" priority="16">
      <formula>IF(LEN(I8)-LEN(SUBSTITUTE(I8,".",""))=3,FALSE,TRUE)</formula>
    </cfRule>
  </conditionalFormatting>
  <conditionalFormatting sqref="I9">
    <cfRule type="containsText" dxfId="137" priority="12" operator="containsText" text="n/a">
      <formula>NOT(ISERROR(SEARCH("n/a",I9)))</formula>
    </cfRule>
    <cfRule type="expression" dxfId="136" priority="125">
      <formula>IF(LEN(I9)-LEN(SUBSTITUTE(I9,".",""))=3,FALSE,TRUE)</formula>
    </cfRule>
  </conditionalFormatting>
  <conditionalFormatting sqref="K8">
    <cfRule type="containsText" dxfId="135" priority="9" operator="containsText" text="n/a">
      <formula>NOT(ISERROR(SEARCH("n/a",K8)))</formula>
    </cfRule>
    <cfRule type="containsBlanks" dxfId="134" priority="10">
      <formula>LEN(TRIM(K8))=0</formula>
    </cfRule>
    <cfRule type="expression" dxfId="133" priority="11">
      <formula>IF(LEN(K8)-LEN(SUBSTITUTE(K8,".",""))=3,FALSE,TRUE)</formula>
    </cfRule>
  </conditionalFormatting>
  <conditionalFormatting sqref="K9">
    <cfRule type="containsText" dxfId="132" priority="7" operator="containsText" text="n/a">
      <formula>NOT(ISERROR(SEARCH("n/a",K9)))</formula>
    </cfRule>
    <cfRule type="expression" dxfId="131" priority="13">
      <formula>IF(LEN(K9)-LEN(SUBSTITUTE(K9,".",""))=3,FALSE,TRUE)</formula>
    </cfRule>
  </conditionalFormatting>
  <conditionalFormatting sqref="F7">
    <cfRule type="cellIs" dxfId="130" priority="4" operator="lessThan">
      <formula>1500</formula>
    </cfRule>
  </conditionalFormatting>
  <conditionalFormatting sqref="F8">
    <cfRule type="cellIs" dxfId="129" priority="3" operator="lessThan">
      <formula>1500</formula>
    </cfRule>
  </conditionalFormatting>
  <conditionalFormatting sqref="F9">
    <cfRule type="cellIs" dxfId="128" priority="2" operator="lessThan">
      <formula>1500</formula>
    </cfRule>
  </conditionalFormatting>
  <conditionalFormatting sqref="F10">
    <cfRule type="cellIs" dxfId="127" priority="1" operator="lessThan">
      <formula>1500</formula>
    </cfRule>
  </conditionalFormatting>
  <dataValidations count="6">
    <dataValidation type="custom" allowBlank="1" showInputMessage="1" showErrorMessage="1" errorTitle="Invalid IP Address" error="Please enter a valid IP Address" sqref="H7 J7:K7 E7:E9" xr:uid="{23E143A0-2EFB-0D47-B36F-9F76505C07C0}">
      <formula1>IF(ISNUMBER(VALUE(SUBSTITUTE(E7,".",""))),AND(--LEFT(E7,FIND(".",E7)-1)&lt;256,--MID(SUBSTITUTE(E7,".",REPT(" ",99)),99,99)&lt;256,--MID(SUBSTITUTE(E7,".",REPT(" ",99)),198,99)&lt;256,--RIGHT(SUBSTITUTE(E7,".",REPT(" ",99)),99)&lt;256),E7="n/a")</formula1>
    </dataValidation>
    <dataValidation type="custom" allowBlank="1" showInputMessage="1" showErrorMessage="1" errorTitle="Invalid IP Address " error="Please enter a valid IP Address" sqref="I7" xr:uid="{2201C015-0C68-7447-A064-B3C9A0A32B62}">
      <formula1>IF(ISNUMBER(VALUE(SUBSTITUTE(I7,".",""))),AND(--LEFT(I7,FIND(".",I7)-1)&lt;256,--MID(SUBSTITUTE(I7,".",REPT(" ",99)),99,99)&lt;256,--MID(SUBSTITUTE(I7,".",REPT(" ",99)),198,99)&lt;256,--RIGHT(SUBSTITUTE(I7,".",REPT(" ",99)),99)&lt;256),I7="n/a")</formula1>
    </dataValidation>
    <dataValidation type="list" allowBlank="1" showInputMessage="1" showErrorMessage="1" errorTitle="Invalid IP Address" error="Please enter a valid IP Address" sqref="J11" xr:uid="{0A5A4CB6-8C5C-DF40-92A8-17965C983C15}">
      <formula1>"Yes,No"</formula1>
    </dataValidation>
    <dataValidation type="custom" allowBlank="1" showInputMessage="1" showErrorMessage="1" errorTitle="Invalid IP Address" error="Please enter a valid IP Address" promptTitle="SDDC-DPortGroup-vMotion" prompt="Provide inclusion range" sqref="K8 I8" xr:uid="{BF263885-C7E6-5E42-9EBB-D726186E889B}">
      <formula1>IF(ISNUMBER(VALUE(SUBSTITUTE(I8,".",""))),AND(--LEFT(I8,FIND(".",I8)-1)&lt;256,--MID(SUBSTITUTE(I8,".",REPT(" ",99)),99,99)&lt;256,--MID(SUBSTITUTE(I8,".",REPT(" ",99)),198,99)&lt;256,--RIGHT(SUBSTITUTE(I8,".",REPT(" ",99)),99)&lt;256),I8="n/a")</formula1>
    </dataValidation>
    <dataValidation type="custom" allowBlank="1" showInputMessage="1" showErrorMessage="1" errorTitle="Invalid IP Address" error="Please enter a valid IP Address" promptTitle="SDDC-DPortGroup-VSAN" prompt="Provide inclusion range" sqref="K9 I9" xr:uid="{7292D99B-9BC6-2342-ABD5-7B36F3FE90FF}">
      <formula1>IF(ISNUMBER(VALUE(SUBSTITUTE(I9,".",""))),AND(--LEFT(I9,FIND(".",I9)-1)&lt;256,--MID(SUBSTITUTE(I9,".",REPT(" ",99)),99,99)&lt;256,--MID(SUBSTITUTE(I9,".",REPT(" ",99)),198,99)&lt;256,--RIGHT(SUBSTITUTE(I9,".",REPT(" ",99)),99)&lt;256),I9="n/a")</formula1>
    </dataValidation>
    <dataValidation allowBlank="1" showInputMessage="1" showErrorMessage="1" promptTitle="VXLAN / DvS MTU Size" prompt="The VXLAN MTU size must match the vSphere Distributed Switch MTU size (set in Deployment Parameters tab)" sqref="F10" xr:uid="{264C5B05-51EB-0741-B60F-C482FF147561}"/>
  </dataValidation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L45"/>
  <sheetViews>
    <sheetView showGridLines="0" zoomScale="130" zoomScaleNormal="130" zoomScalePageLayoutView="116" workbookViewId="0">
      <pane ySplit="4" topLeftCell="A5" activePane="bottomLeft" state="frozen"/>
      <selection pane="bottomLeft" activeCell="I10" sqref="I10"/>
    </sheetView>
  </sheetViews>
  <sheetFormatPr baseColWidth="10" defaultColWidth="9" defaultRowHeight="13"/>
  <cols>
    <col min="1" max="1" width="1.33203125" style="44" customWidth="1"/>
    <col min="2" max="2" width="3.33203125" style="44" customWidth="1"/>
    <col min="3" max="3" width="45.83203125" style="44" customWidth="1"/>
    <col min="4" max="4" width="1.6640625" style="44" customWidth="1"/>
    <col min="5" max="5" width="41.33203125" style="44" customWidth="1"/>
    <col min="6" max="6" width="16.83203125" style="44" customWidth="1"/>
    <col min="7" max="7" width="18.83203125" style="44" customWidth="1"/>
    <col min="8" max="8" width="2.83203125" style="44" customWidth="1"/>
    <col min="9" max="9" width="41.33203125" style="44" customWidth="1"/>
    <col min="10" max="10" width="16.83203125" style="44" customWidth="1"/>
    <col min="11" max="11" width="17.33203125" style="44" customWidth="1"/>
    <col min="12" max="16384" width="9" style="44"/>
  </cols>
  <sheetData>
    <row r="1" spans="2:11" ht="48" customHeight="1">
      <c r="B1" s="144"/>
      <c r="C1" s="145"/>
      <c r="E1" s="44" t="s">
        <v>2</v>
      </c>
    </row>
    <row r="2" spans="2:11" ht="3" customHeight="1" thickBot="1">
      <c r="B2" s="144"/>
      <c r="C2" s="145"/>
    </row>
    <row r="3" spans="2:11" ht="52" customHeight="1" thickBot="1">
      <c r="B3" s="333" t="s">
        <v>300</v>
      </c>
      <c r="C3" s="334"/>
      <c r="D3" s="334"/>
      <c r="E3" s="334"/>
      <c r="F3" s="334"/>
      <c r="G3" s="334"/>
      <c r="H3" s="335"/>
      <c r="I3" s="335"/>
      <c r="J3" s="335"/>
      <c r="K3" s="336"/>
    </row>
    <row r="4" spans="2:11" s="63" customFormat="1" ht="2.25" customHeight="1">
      <c r="B4" s="146"/>
      <c r="C4" s="146"/>
      <c r="I4" s="44"/>
      <c r="J4" s="44"/>
    </row>
    <row r="5" spans="2:11" s="63" customFormat="1" ht="20">
      <c r="B5" s="140" t="s">
        <v>118</v>
      </c>
      <c r="C5" s="148"/>
      <c r="E5" s="68" t="s">
        <v>21</v>
      </c>
      <c r="F5" s="137" t="s">
        <v>13</v>
      </c>
      <c r="G5" s="137" t="s">
        <v>0</v>
      </c>
      <c r="H5" s="149"/>
      <c r="I5" s="150" t="s">
        <v>159</v>
      </c>
      <c r="J5" s="337" t="s">
        <v>20</v>
      </c>
      <c r="K5" s="338"/>
    </row>
    <row r="6" spans="2:11" s="63" customFormat="1" ht="15" customHeight="1">
      <c r="B6" s="141" t="str">
        <f>IF((AND(G6&lt;&gt;"",G7&lt;&gt;"")),"✓","")</f>
        <v>✓</v>
      </c>
      <c r="C6" s="63" t="s">
        <v>65</v>
      </c>
      <c r="E6" s="138" t="s">
        <v>160</v>
      </c>
      <c r="F6" s="151"/>
      <c r="G6" s="227" t="s">
        <v>256</v>
      </c>
      <c r="H6" s="154"/>
      <c r="I6" s="138" t="s">
        <v>366</v>
      </c>
      <c r="J6" s="339" t="s">
        <v>258</v>
      </c>
      <c r="K6" s="340"/>
    </row>
    <row r="7" spans="2:11" s="63" customFormat="1" ht="15" customHeight="1">
      <c r="B7" s="141" t="str">
        <f>IF(J6&lt;&gt;"","✓","")</f>
        <v>✓</v>
      </c>
      <c r="C7" s="63" t="s">
        <v>119</v>
      </c>
      <c r="E7" s="138" t="s">
        <v>161</v>
      </c>
      <c r="F7" s="151"/>
      <c r="G7" s="227" t="s">
        <v>7</v>
      </c>
      <c r="H7" s="146"/>
    </row>
    <row r="8" spans="2:11" s="63" customFormat="1" ht="15" customHeight="1">
      <c r="B8" s="141" t="str">
        <f>IF((AND(G8&lt;&gt;"",G9&lt;&gt;"")),"✓","")</f>
        <v>✓</v>
      </c>
      <c r="C8" s="63" t="s">
        <v>66</v>
      </c>
      <c r="E8" s="138" t="s">
        <v>122</v>
      </c>
      <c r="F8" s="151"/>
      <c r="G8" s="227" t="s">
        <v>314</v>
      </c>
      <c r="H8" s="146"/>
      <c r="I8" s="153" t="s">
        <v>237</v>
      </c>
      <c r="J8" s="330" t="s">
        <v>20</v>
      </c>
      <c r="K8" s="344"/>
    </row>
    <row r="9" spans="2:11" s="63" customFormat="1" ht="15" customHeight="1">
      <c r="B9" s="141" t="str">
        <f>IF(G10&lt;&gt;"","✓","")</f>
        <v/>
      </c>
      <c r="C9" s="63" t="s">
        <v>64</v>
      </c>
      <c r="E9" s="138" t="s">
        <v>123</v>
      </c>
      <c r="F9" s="151"/>
      <c r="G9" s="227" t="s">
        <v>7</v>
      </c>
      <c r="H9" s="146"/>
      <c r="I9" s="138" t="s">
        <v>305</v>
      </c>
      <c r="J9" s="328" t="s">
        <v>171</v>
      </c>
      <c r="K9" s="341"/>
    </row>
    <row r="10" spans="2:11" s="63" customFormat="1" ht="15" customHeight="1">
      <c r="B10" s="141" t="str">
        <f>IF((AND(J9&lt;&gt;"")),"✓","")</f>
        <v>✓</v>
      </c>
      <c r="C10" s="63" t="s">
        <v>117</v>
      </c>
      <c r="H10" s="146"/>
      <c r="I10" s="138" t="s">
        <v>440</v>
      </c>
      <c r="J10" s="324" t="s">
        <v>377</v>
      </c>
      <c r="K10" s="325"/>
    </row>
    <row r="11" spans="2:11" s="63" customFormat="1" ht="15" customHeight="1">
      <c r="B11" s="141" t="str">
        <f>IF((AND('Prerequisite Checklist'!C7="Verified")),"✓","")</f>
        <v/>
      </c>
      <c r="C11" s="63" t="s">
        <v>183</v>
      </c>
      <c r="E11" s="68" t="s">
        <v>97</v>
      </c>
      <c r="F11" s="328" t="s">
        <v>257</v>
      </c>
      <c r="G11" s="341"/>
      <c r="H11" s="146"/>
    </row>
    <row r="12" spans="2:11" s="63" customFormat="1" ht="15" customHeight="1">
      <c r="B12" s="141" t="str">
        <f>IF((AND('Prerequisite Checklist'!C8="Verified")),"✓","")</f>
        <v/>
      </c>
      <c r="C12" s="63" t="s">
        <v>101</v>
      </c>
      <c r="H12" s="146"/>
    </row>
    <row r="13" spans="2:11" s="63" customFormat="1" ht="15" customHeight="1">
      <c r="H13" s="146"/>
    </row>
    <row r="14" spans="2:11" s="63" customFormat="1" ht="20.25" customHeight="1">
      <c r="B14" s="140" t="s">
        <v>23</v>
      </c>
      <c r="C14" s="147"/>
      <c r="E14" s="138" t="s">
        <v>10</v>
      </c>
      <c r="F14" s="137" t="s">
        <v>13</v>
      </c>
      <c r="G14" s="137" t="s">
        <v>0</v>
      </c>
      <c r="H14" s="154"/>
      <c r="I14" s="138" t="s">
        <v>22</v>
      </c>
      <c r="J14" s="137" t="s">
        <v>20</v>
      </c>
      <c r="K14" s="228" t="s">
        <v>416</v>
      </c>
    </row>
    <row r="15" spans="2:11" s="63" customFormat="1" ht="15" customHeight="1">
      <c r="B15" s="142" t="str">
        <f>IF((AND(F15&lt;&gt;"",F16&lt;&gt;"",F17&lt;&gt;"")),"✓","")</f>
        <v>✓</v>
      </c>
      <c r="C15" s="63" t="s">
        <v>152</v>
      </c>
      <c r="E15" s="138" t="s">
        <v>24</v>
      </c>
      <c r="F15" s="174" t="s">
        <v>259</v>
      </c>
      <c r="G15" s="231" t="s">
        <v>263</v>
      </c>
      <c r="H15" s="154"/>
      <c r="I15" s="138" t="s">
        <v>177</v>
      </c>
      <c r="J15" s="174" t="s">
        <v>277</v>
      </c>
      <c r="K15" s="139"/>
    </row>
    <row r="16" spans="2:11" s="63" customFormat="1" ht="15" customHeight="1">
      <c r="B16" s="142" t="str">
        <f>IF((AND(G15&lt;&gt;"",G16&lt;&gt;"",G17&lt;&gt;"")),"✓","")</f>
        <v>✓</v>
      </c>
      <c r="C16" s="63" t="s">
        <v>153</v>
      </c>
      <c r="E16" s="138" t="s">
        <v>299</v>
      </c>
      <c r="F16" s="174" t="s">
        <v>260</v>
      </c>
      <c r="G16" s="231" t="s">
        <v>262</v>
      </c>
      <c r="H16" s="146"/>
      <c r="I16" s="138" t="s">
        <v>99</v>
      </c>
      <c r="J16" s="226" t="s">
        <v>278</v>
      </c>
      <c r="K16" s="229" t="s">
        <v>7</v>
      </c>
    </row>
    <row r="17" spans="2:12" s="63" customFormat="1" ht="15" customHeight="1">
      <c r="B17" s="141" t="str">
        <f>IF('Prerequisite Checklist'!C11="Verified","✓","")</f>
        <v/>
      </c>
      <c r="C17" s="63" t="s">
        <v>67</v>
      </c>
      <c r="E17" s="138" t="s">
        <v>298</v>
      </c>
      <c r="F17" s="174" t="s">
        <v>261</v>
      </c>
      <c r="G17" s="231" t="s">
        <v>264</v>
      </c>
      <c r="H17" s="146"/>
      <c r="I17" s="138" t="s">
        <v>164</v>
      </c>
      <c r="J17" s="330" t="s">
        <v>20</v>
      </c>
      <c r="K17" s="344"/>
    </row>
    <row r="18" spans="2:12" s="63" customFormat="1" ht="15" customHeight="1">
      <c r="B18" s="142" t="str">
        <f>IF(J15&lt;&gt;"","✓","")</f>
        <v>✓</v>
      </c>
      <c r="C18" s="63" t="s">
        <v>91</v>
      </c>
      <c r="E18" s="68" t="s">
        <v>324</v>
      </c>
      <c r="F18" s="189" t="s">
        <v>340</v>
      </c>
      <c r="H18" s="146"/>
      <c r="I18" s="138" t="s">
        <v>368</v>
      </c>
      <c r="J18" s="328" t="s">
        <v>255</v>
      </c>
      <c r="K18" s="329"/>
    </row>
    <row r="19" spans="2:12" s="63" customFormat="1" ht="15" customHeight="1">
      <c r="B19" s="142" t="str">
        <f>IF((AND(J16&lt;&gt;"")),"✓","")</f>
        <v>✓</v>
      </c>
      <c r="C19" s="63" t="s">
        <v>390</v>
      </c>
      <c r="H19" s="146"/>
      <c r="I19" s="138" t="s">
        <v>369</v>
      </c>
      <c r="J19" s="326" t="s">
        <v>429</v>
      </c>
      <c r="K19" s="327"/>
    </row>
    <row r="20" spans="2:12" s="63" customFormat="1" ht="15" customHeight="1">
      <c r="B20" s="143" t="str">
        <f>IF(F11&lt;&gt;"","✓","")</f>
        <v>✓</v>
      </c>
      <c r="C20" s="63" t="s">
        <v>100</v>
      </c>
      <c r="E20" s="152" t="s">
        <v>112</v>
      </c>
      <c r="F20" s="330" t="s">
        <v>20</v>
      </c>
      <c r="G20" s="344"/>
      <c r="H20" s="146"/>
      <c r="I20" s="138" t="s">
        <v>238</v>
      </c>
      <c r="J20" s="342" t="s">
        <v>30</v>
      </c>
      <c r="K20" s="343"/>
    </row>
    <row r="21" spans="2:12" s="63" customFormat="1" ht="15" customHeight="1">
      <c r="B21" s="143" t="str">
        <f>IF(AND(J18&lt;&gt;""),"✓","")</f>
        <v>✓</v>
      </c>
      <c r="C21" s="63" t="s">
        <v>391</v>
      </c>
      <c r="E21" s="138" t="s">
        <v>110</v>
      </c>
      <c r="F21" s="328" t="s">
        <v>109</v>
      </c>
      <c r="G21" s="341"/>
      <c r="H21" s="146"/>
    </row>
    <row r="22" spans="2:12" s="63" customFormat="1" ht="15" customHeight="1">
      <c r="E22" s="138" t="s">
        <v>107</v>
      </c>
      <c r="F22" s="328" t="s">
        <v>108</v>
      </c>
      <c r="G22" s="341"/>
      <c r="H22" s="146"/>
      <c r="I22" s="138" t="s">
        <v>309</v>
      </c>
      <c r="J22" s="330" t="s">
        <v>20</v>
      </c>
      <c r="K22" s="344"/>
    </row>
    <row r="23" spans="2:12" s="63" customFormat="1" ht="15" customHeight="1">
      <c r="E23" s="138" t="s">
        <v>176</v>
      </c>
      <c r="F23" s="328" t="s">
        <v>150</v>
      </c>
      <c r="G23" s="329"/>
      <c r="H23" s="146"/>
      <c r="I23" s="138" t="s">
        <v>315</v>
      </c>
      <c r="J23" s="328" t="s">
        <v>319</v>
      </c>
      <c r="K23" s="329"/>
    </row>
    <row r="24" spans="2:12" s="63" customFormat="1" ht="15" customHeight="1">
      <c r="E24" s="138" t="s">
        <v>175</v>
      </c>
      <c r="F24" s="328" t="s">
        <v>174</v>
      </c>
      <c r="G24" s="341"/>
      <c r="H24" s="146"/>
      <c r="I24" s="138" t="s">
        <v>316</v>
      </c>
      <c r="J24" s="328" t="s">
        <v>310</v>
      </c>
      <c r="K24" s="329"/>
    </row>
    <row r="25" spans="2:12" s="63" customFormat="1" ht="15" customHeight="1">
      <c r="H25" s="146"/>
      <c r="I25" s="138" t="s">
        <v>317</v>
      </c>
      <c r="J25" s="328" t="s">
        <v>311</v>
      </c>
      <c r="K25" s="329"/>
    </row>
    <row r="26" spans="2:12" s="63" customFormat="1" ht="15" customHeight="1">
      <c r="H26" s="146"/>
      <c r="I26" s="138" t="s">
        <v>318</v>
      </c>
      <c r="J26" s="328" t="s">
        <v>320</v>
      </c>
      <c r="K26" s="329"/>
    </row>
    <row r="27" spans="2:12" s="63" customFormat="1" ht="15" customHeight="1">
      <c r="H27" s="146"/>
      <c r="I27" s="44"/>
      <c r="J27" s="44"/>
      <c r="K27" s="44"/>
    </row>
    <row r="28" spans="2:12" s="63" customFormat="1" ht="20.25" customHeight="1">
      <c r="B28" s="140" t="s">
        <v>1</v>
      </c>
      <c r="C28" s="147"/>
      <c r="E28" s="68" t="s">
        <v>10</v>
      </c>
      <c r="F28" s="137" t="s">
        <v>13</v>
      </c>
      <c r="G28" s="137" t="s">
        <v>0</v>
      </c>
      <c r="H28" s="155"/>
      <c r="I28" s="153" t="s">
        <v>427</v>
      </c>
      <c r="J28" s="172" t="s">
        <v>215</v>
      </c>
      <c r="K28" s="172" t="s">
        <v>216</v>
      </c>
    </row>
    <row r="29" spans="2:12" s="63" customFormat="1" ht="15" customHeight="1">
      <c r="B29" s="142" t="str">
        <f>IF((AND(F29&lt;&gt;"")),"✓","")</f>
        <v>✓</v>
      </c>
      <c r="C29" s="63" t="s">
        <v>94</v>
      </c>
      <c r="E29" s="138" t="s">
        <v>12</v>
      </c>
      <c r="F29" s="174" t="s">
        <v>281</v>
      </c>
      <c r="G29" s="231" t="s">
        <v>384</v>
      </c>
      <c r="H29" s="155"/>
      <c r="I29" s="173" t="s">
        <v>244</v>
      </c>
      <c r="J29" s="244">
        <v>5000</v>
      </c>
      <c r="K29" s="176">
        <v>5200</v>
      </c>
      <c r="L29" s="44"/>
    </row>
    <row r="30" spans="2:12" s="63" customFormat="1" ht="15" customHeight="1">
      <c r="B30" s="142" t="str">
        <f>IF((AND(G29&lt;&gt;"")),"✓","")</f>
        <v>✓</v>
      </c>
      <c r="C30" s="63" t="s">
        <v>93</v>
      </c>
      <c r="E30" s="138" t="s">
        <v>14</v>
      </c>
      <c r="F30" s="139"/>
      <c r="G30" s="231" t="s">
        <v>279</v>
      </c>
      <c r="H30" s="156" t="b">
        <f>MID(G31,FIND(".",G31,FIND(".",G31,FIND(".",G31)+1)+1)+1,LEN(G31)-FIND(".",G31,FIND(".",G31,FIND(".",G31)+1)+1))-(MID(G30,FIND(".",G30,FIND(".",G30,FIND(".",G30)+1)+1)+1,LEN(G30)-FIND(".",G30,FIND(".",G30,FIND(".",G30)+1)+1))-1)&lt;3</f>
        <v>0</v>
      </c>
      <c r="I30" s="173" t="s">
        <v>434</v>
      </c>
      <c r="J30" s="245" t="s">
        <v>435</v>
      </c>
      <c r="K30" s="245" t="s">
        <v>436</v>
      </c>
      <c r="L30" s="44"/>
    </row>
    <row r="31" spans="2:12" s="63" customFormat="1" ht="15" customHeight="1">
      <c r="B31" s="141" t="str">
        <f>IF('Prerequisite Checklist'!C11="Verified","✓","")</f>
        <v/>
      </c>
      <c r="C31" s="63" t="s">
        <v>92</v>
      </c>
      <c r="E31" s="138" t="s">
        <v>15</v>
      </c>
      <c r="F31" s="139"/>
      <c r="G31" s="231" t="s">
        <v>280</v>
      </c>
      <c r="H31" s="156"/>
      <c r="I31" s="44"/>
      <c r="J31" s="44"/>
      <c r="K31" s="44"/>
      <c r="L31" s="44"/>
    </row>
    <row r="32" spans="2:12" s="63" customFormat="1" ht="15" customHeight="1">
      <c r="B32" s="142" t="str">
        <f>IF((AND(G30&lt;&gt;"",G31&lt;&gt;"")),"✓","")</f>
        <v>✓</v>
      </c>
      <c r="C32" s="63" t="s">
        <v>16</v>
      </c>
      <c r="H32" s="156" t="e">
        <f>MID(#REF!,FIND(".",#REF!,FIND(".",#REF!,FIND(".",#REF!)+1)+1)+1,LEN(#REF!)-FIND(".",#REF!,FIND(".",#REF!,FIND(".",#REF!)+1)+1))-(MID(#REF!,FIND(".",#REF!,FIND(".",#REF!,FIND(".",#REF!)+1)+1)+1,LEN(#REF!)-FIND(".",#REF!,FIND(".",#REF!,FIND(".",#REF!)+1)+1))-1)&lt;((8-#REF!)*2)</f>
        <v>#REF!</v>
      </c>
      <c r="I32" s="44"/>
      <c r="J32" s="44"/>
      <c r="K32" s="44"/>
      <c r="L32" s="44"/>
    </row>
    <row r="33" spans="2:12" s="63" customFormat="1" ht="15" customHeight="1">
      <c r="H33" s="146"/>
      <c r="I33" s="44"/>
      <c r="J33" s="44"/>
      <c r="K33" s="44"/>
      <c r="L33" s="44"/>
    </row>
    <row r="34" spans="2:12" s="63" customFormat="1" ht="20.25" customHeight="1">
      <c r="B34" s="167" t="s">
        <v>19</v>
      </c>
      <c r="C34" s="147"/>
      <c r="E34" s="68" t="s">
        <v>326</v>
      </c>
      <c r="F34" s="162" t="s">
        <v>13</v>
      </c>
      <c r="G34" s="162" t="s">
        <v>0</v>
      </c>
    </row>
    <row r="35" spans="2:12" s="63" customFormat="1" ht="15" customHeight="1">
      <c r="B35" s="142" t="str">
        <f>IF((AND(F35&lt;&gt;"",F37&lt;&gt;"",F38&lt;&gt;"")),"✓","")</f>
        <v>✓</v>
      </c>
      <c r="C35" s="63" t="s">
        <v>218</v>
      </c>
      <c r="E35" s="138" t="s">
        <v>327</v>
      </c>
      <c r="F35" s="174" t="s">
        <v>282</v>
      </c>
      <c r="G35" s="231" t="s">
        <v>286</v>
      </c>
    </row>
    <row r="36" spans="2:12" s="63" customFormat="1" ht="15" customHeight="1">
      <c r="B36" s="142" t="str">
        <f>IF((AND(G35&lt;&gt;"",G36&lt;&gt;"",G37&lt;&gt;"",G38&lt;&gt;"")),"✓","")</f>
        <v>✓</v>
      </c>
      <c r="C36" s="63" t="s">
        <v>219</v>
      </c>
      <c r="E36" s="138" t="s">
        <v>328</v>
      </c>
      <c r="F36" s="174" t="s">
        <v>283</v>
      </c>
      <c r="G36" s="231" t="s">
        <v>287</v>
      </c>
    </row>
    <row r="37" spans="2:12" s="63" customFormat="1" ht="15" customHeight="1">
      <c r="B37" s="142" t="str">
        <f>IF((G35&lt;&gt;""),"✓","")</f>
        <v>✓</v>
      </c>
      <c r="C37" s="63" t="s">
        <v>220</v>
      </c>
      <c r="E37" s="138" t="s">
        <v>329</v>
      </c>
      <c r="F37" s="174" t="s">
        <v>285</v>
      </c>
      <c r="G37" s="231" t="s">
        <v>288</v>
      </c>
    </row>
    <row r="38" spans="2:12" s="63" customFormat="1" ht="15" customHeight="1">
      <c r="B38" s="141" t="str">
        <f>IF('Prerequisite Checklist'!C11="Verified","✓","")</f>
        <v/>
      </c>
      <c r="C38" s="63" t="s">
        <v>221</v>
      </c>
      <c r="E38" s="138" t="s">
        <v>330</v>
      </c>
      <c r="F38" s="174" t="s">
        <v>284</v>
      </c>
      <c r="G38" s="231" t="s">
        <v>289</v>
      </c>
    </row>
    <row r="39" spans="2:12" s="63" customFormat="1" ht="15" customHeight="1">
      <c r="E39" s="68" t="s">
        <v>325</v>
      </c>
      <c r="F39" s="189" t="s">
        <v>363</v>
      </c>
      <c r="H39" s="146"/>
      <c r="I39" s="44"/>
      <c r="J39" s="44"/>
      <c r="K39" s="44"/>
      <c r="L39" s="44"/>
    </row>
    <row r="40" spans="2:12" s="63" customFormat="1" ht="15" customHeight="1">
      <c r="H40" s="146"/>
      <c r="I40" s="44"/>
      <c r="J40" s="44"/>
      <c r="K40" s="44"/>
      <c r="L40" s="44"/>
    </row>
    <row r="41" spans="2:12" s="63" customFormat="1" ht="20.25" customHeight="1">
      <c r="B41" s="140" t="s">
        <v>192</v>
      </c>
      <c r="C41" s="147"/>
      <c r="E41" s="68" t="s">
        <v>192</v>
      </c>
      <c r="F41" s="330" t="s">
        <v>20</v>
      </c>
      <c r="G41" s="331"/>
      <c r="H41" s="146"/>
      <c r="I41" s="44"/>
      <c r="J41" s="44"/>
      <c r="K41" s="44"/>
      <c r="L41" s="44"/>
    </row>
    <row r="42" spans="2:12" ht="16" customHeight="1">
      <c r="B42" s="142" t="str">
        <f>IF((AND(F42&lt;&gt;"")),"✓","")</f>
        <v>✓</v>
      </c>
      <c r="C42" s="63" t="s">
        <v>198</v>
      </c>
      <c r="E42" s="138" t="s">
        <v>201</v>
      </c>
      <c r="F42" s="329" t="s">
        <v>204</v>
      </c>
      <c r="G42" s="329"/>
    </row>
    <row r="43" spans="2:12" ht="16" customHeight="1">
      <c r="B43" s="142" t="str">
        <f>IF((AND(F42&lt;&gt;"")),"✓","")</f>
        <v>✓</v>
      </c>
      <c r="C43" s="63" t="s">
        <v>199</v>
      </c>
      <c r="E43" s="138" t="s">
        <v>202</v>
      </c>
      <c r="F43" s="332" t="s">
        <v>290</v>
      </c>
      <c r="G43" s="332"/>
    </row>
    <row r="44" spans="2:12" ht="16" customHeight="1">
      <c r="B44" s="141" t="str">
        <f>IF('Prerequisite Checklist'!C11="Verified","✓","")</f>
        <v/>
      </c>
      <c r="C44" s="63" t="s">
        <v>200</v>
      </c>
      <c r="E44" s="138" t="s">
        <v>203</v>
      </c>
      <c r="F44" s="327" t="s">
        <v>205</v>
      </c>
      <c r="G44" s="327"/>
    </row>
    <row r="45" spans="2:12" ht="16" customHeight="1">
      <c r="E45" s="138" t="s">
        <v>206</v>
      </c>
      <c r="F45" s="329" t="s">
        <v>291</v>
      </c>
      <c r="G45" s="329"/>
    </row>
  </sheetData>
  <sheetProtection sheet="1" objects="1" scenarios="1"/>
  <mergeCells count="26">
    <mergeCell ref="B3:K3"/>
    <mergeCell ref="J5:K5"/>
    <mergeCell ref="J6:K6"/>
    <mergeCell ref="F24:G24"/>
    <mergeCell ref="F21:G21"/>
    <mergeCell ref="J20:K20"/>
    <mergeCell ref="J8:K8"/>
    <mergeCell ref="J9:K9"/>
    <mergeCell ref="F11:G11"/>
    <mergeCell ref="F20:G20"/>
    <mergeCell ref="J18:K18"/>
    <mergeCell ref="J17:K17"/>
    <mergeCell ref="F22:G22"/>
    <mergeCell ref="F23:G23"/>
    <mergeCell ref="J22:K22"/>
    <mergeCell ref="J23:K23"/>
    <mergeCell ref="F45:G45"/>
    <mergeCell ref="F41:G41"/>
    <mergeCell ref="F42:G42"/>
    <mergeCell ref="F43:G43"/>
    <mergeCell ref="J26:K26"/>
    <mergeCell ref="J10:K10"/>
    <mergeCell ref="J19:K19"/>
    <mergeCell ref="J24:K24"/>
    <mergeCell ref="J25:K25"/>
    <mergeCell ref="F44:G44"/>
  </mergeCells>
  <conditionalFormatting sqref="B28:B32 B45:B302 B5:B6 B8:B9 B14:B20">
    <cfRule type="cellIs" dxfId="126" priority="392" operator="equal">
      <formula>"✓"</formula>
    </cfRule>
  </conditionalFormatting>
  <conditionalFormatting sqref="B10">
    <cfRule type="cellIs" dxfId="125" priority="389" operator="equal">
      <formula>"✓"</formula>
    </cfRule>
  </conditionalFormatting>
  <conditionalFormatting sqref="B20">
    <cfRule type="cellIs" dxfId="124" priority="364" operator="equal">
      <formula>"✓"</formula>
    </cfRule>
  </conditionalFormatting>
  <conditionalFormatting sqref="B21">
    <cfRule type="cellIs" dxfId="123" priority="363" operator="equal">
      <formula>"✓"</formula>
    </cfRule>
  </conditionalFormatting>
  <conditionalFormatting sqref="B11">
    <cfRule type="cellIs" dxfId="122" priority="356" operator="equal">
      <formula>"✓"</formula>
    </cfRule>
  </conditionalFormatting>
  <conditionalFormatting sqref="B7">
    <cfRule type="cellIs" dxfId="121" priority="347" operator="equal">
      <formula>"✓"</formula>
    </cfRule>
  </conditionalFormatting>
  <conditionalFormatting sqref="G30:G31">
    <cfRule type="expression" dxfId="120" priority="113">
      <formula>$H$30=TRUE</formula>
    </cfRule>
  </conditionalFormatting>
  <conditionalFormatting sqref="J18:K18 J20:K20">
    <cfRule type="containsText" dxfId="119" priority="243" operator="containsText" text="n/a">
      <formula>NOT(ISERROR(SEARCH("n/a",J18)))</formula>
    </cfRule>
    <cfRule type="containsBlanks" dxfId="118" priority="584">
      <formula>LEN(TRIM(J18))=0</formula>
    </cfRule>
  </conditionalFormatting>
  <conditionalFormatting sqref="J9:K9 G15:G17">
    <cfRule type="containsBlanks" dxfId="117" priority="19">
      <formula>LEN(TRIM(G9))=0</formula>
    </cfRule>
  </conditionalFormatting>
  <conditionalFormatting sqref="G7">
    <cfRule type="containsBlanks" dxfId="116" priority="27">
      <formula>LEN(TRIM(G7))=0</formula>
    </cfRule>
    <cfRule type="containsText" dxfId="115" priority="28" stopIfTrue="1" operator="containsText" text="n/a">
      <formula>NOT(ISERROR(SEARCH("n/a",G7)))</formula>
    </cfRule>
    <cfRule type="expression" dxfId="114" priority="275">
      <formula>IF(LEN(G7)-LEN(SUBSTITUTE(G7,".",""))=3,FALSE,TRUE)</formula>
    </cfRule>
  </conditionalFormatting>
  <conditionalFormatting sqref="G8 J15:J16 F17">
    <cfRule type="containsText" dxfId="113" priority="24" operator="containsText" text="n/a">
      <formula>NOT(ISERROR(SEARCH("n/a",F8)))</formula>
    </cfRule>
    <cfRule type="containsBlanks" dxfId="112" priority="271">
      <formula>LEN(TRIM(F8))=0</formula>
    </cfRule>
  </conditionalFormatting>
  <conditionalFormatting sqref="F29">
    <cfRule type="containsText" dxfId="111" priority="254" operator="containsText" text="n/a">
      <formula>NOT(ISERROR(SEARCH("n/a",F29)))</formula>
    </cfRule>
    <cfRule type="containsBlanks" dxfId="110" priority="255">
      <formula>LEN(TRIM(F29))=0</formula>
    </cfRule>
  </conditionalFormatting>
  <conditionalFormatting sqref="F15">
    <cfRule type="containsText" dxfId="109" priority="250" operator="containsText" text="n/a">
      <formula>NOT(ISERROR(SEARCH("n/a",F15)))</formula>
    </cfRule>
    <cfRule type="containsBlanks" dxfId="108" priority="251">
      <formula>LEN(TRIM(F15))=0</formula>
    </cfRule>
  </conditionalFormatting>
  <conditionalFormatting sqref="F16">
    <cfRule type="containsText" dxfId="107" priority="248" operator="containsText" text="n/a">
      <formula>NOT(ISERROR(SEARCH("n/a",F16)))</formula>
    </cfRule>
    <cfRule type="containsBlanks" dxfId="106" priority="249">
      <formula>LEN(TRIM(F16))=0</formula>
    </cfRule>
  </conditionalFormatting>
  <conditionalFormatting sqref="F11:G11">
    <cfRule type="containsText" dxfId="105" priority="241" operator="containsText" text="n/a">
      <formula>NOT(ISERROR(SEARCH("n/a",F11)))</formula>
    </cfRule>
    <cfRule type="containsBlanks" dxfId="104" priority="242">
      <formula>LEN(TRIM(F11))=0</formula>
    </cfRule>
  </conditionalFormatting>
  <conditionalFormatting sqref="F23:G23">
    <cfRule type="containsText" dxfId="103" priority="237" operator="containsText" text="n/a">
      <formula>NOT(ISERROR(SEARCH("n/a",F23)))</formula>
    </cfRule>
    <cfRule type="containsBlanks" dxfId="102" priority="238">
      <formula>LEN(TRIM(F23))=0</formula>
    </cfRule>
  </conditionalFormatting>
  <conditionalFormatting sqref="G29:G31">
    <cfRule type="containsBlanks" dxfId="101" priority="111">
      <formula>LEN(TRIM(G29))=0</formula>
    </cfRule>
  </conditionalFormatting>
  <conditionalFormatting sqref="G9">
    <cfRule type="containsBlanks" dxfId="100" priority="22">
      <formula>LEN(TRIM(G9))=0</formula>
    </cfRule>
    <cfRule type="containsText" dxfId="99" priority="23" stopIfTrue="1" operator="containsText" text="n/a">
      <formula>NOT(ISERROR(SEARCH("n/a",G9)))</formula>
    </cfRule>
    <cfRule type="expression" dxfId="98" priority="85">
      <formula>IF(LEN(G9)-LEN(SUBSTITUTE(G9,".",""))=3,FALSE,TRUE)</formula>
    </cfRule>
  </conditionalFormatting>
  <conditionalFormatting sqref="B12">
    <cfRule type="cellIs" dxfId="97" priority="83" operator="equal">
      <formula>"✓"</formula>
    </cfRule>
  </conditionalFormatting>
  <conditionalFormatting sqref="B41">
    <cfRule type="cellIs" dxfId="96" priority="81" operator="equal">
      <formula>"✓"</formula>
    </cfRule>
  </conditionalFormatting>
  <conditionalFormatting sqref="B42:B44">
    <cfRule type="cellIs" dxfId="95" priority="80" operator="equal">
      <formula>"✓"</formula>
    </cfRule>
  </conditionalFormatting>
  <conditionalFormatting sqref="B34:B38">
    <cfRule type="cellIs" dxfId="94" priority="79" operator="equal">
      <formula>"✓"</formula>
    </cfRule>
  </conditionalFormatting>
  <conditionalFormatting sqref="F35">
    <cfRule type="containsText" dxfId="93" priority="72" operator="containsText" text="n/a">
      <formula>NOT(ISERROR(SEARCH("n/a",F35)))</formula>
    </cfRule>
    <cfRule type="containsBlanks" dxfId="92" priority="73">
      <formula>LEN(TRIM(F35))=0</formula>
    </cfRule>
  </conditionalFormatting>
  <conditionalFormatting sqref="F36:F38">
    <cfRule type="containsText" dxfId="91" priority="70" operator="containsText" text="n/a">
      <formula>NOT(ISERROR(SEARCH("n/a",F36)))</formula>
    </cfRule>
    <cfRule type="containsBlanks" dxfId="90" priority="71">
      <formula>LEN(TRIM(F36))=0</formula>
    </cfRule>
  </conditionalFormatting>
  <conditionalFormatting sqref="J29:K29">
    <cfRule type="containsText" dxfId="89" priority="63" operator="containsText" text="n/a">
      <formula>NOT(ISERROR(SEARCH("n/a",J29)))</formula>
    </cfRule>
    <cfRule type="containsBlanks" dxfId="88" priority="64">
      <formula>LEN(TRIM(J29))=0</formula>
    </cfRule>
  </conditionalFormatting>
  <conditionalFormatting sqref="J29:K29">
    <cfRule type="duplicateValues" dxfId="87" priority="62"/>
  </conditionalFormatting>
  <conditionalFormatting sqref="G6">
    <cfRule type="containsText" dxfId="86" priority="29" operator="containsText" text="n/a">
      <formula>NOT(ISERROR(SEARCH("n/a",G6)))</formula>
    </cfRule>
    <cfRule type="containsBlanks" dxfId="85" priority="60">
      <formula>LEN(TRIM(G6))=0</formula>
    </cfRule>
    <cfRule type="expression" dxfId="84" priority="637">
      <formula>IF(LEN(G6)-LEN(SUBSTITUTE(G6,".",""))=3,FALSE,TRUE)</formula>
    </cfRule>
  </conditionalFormatting>
  <conditionalFormatting sqref="J6:K6">
    <cfRule type="containsText" dxfId="83" priority="58" operator="containsText" text="n/a">
      <formula>NOT(ISERROR(SEARCH("n/a",J6)))</formula>
    </cfRule>
    <cfRule type="containsBlanks" dxfId="82" priority="59">
      <formula>LEN(TRIM(J6))=0</formula>
    </cfRule>
  </conditionalFormatting>
  <conditionalFormatting sqref="J9:K9">
    <cfRule type="top10" dxfId="81" priority="56" rank="10"/>
  </conditionalFormatting>
  <conditionalFormatting sqref="J23:K23">
    <cfRule type="containsText" dxfId="80" priority="54" operator="containsText" text="n/a">
      <formula>NOT(ISERROR(SEARCH("n/a",J23)))</formula>
    </cfRule>
    <cfRule type="containsBlanks" dxfId="79" priority="55">
      <formula>LEN(TRIM(J23))=0</formula>
    </cfRule>
  </conditionalFormatting>
  <conditionalFormatting sqref="J24:K24">
    <cfRule type="containsText" dxfId="78" priority="48" operator="containsText" text="n/a">
      <formula>NOT(ISERROR(SEARCH("n/a",J24)))</formula>
    </cfRule>
    <cfRule type="containsBlanks" dxfId="77" priority="49">
      <formula>LEN(TRIM(J24))=0</formula>
    </cfRule>
  </conditionalFormatting>
  <conditionalFormatting sqref="G29:G31 G15:G17 G35:G38 F43:G43">
    <cfRule type="duplicateValues" dxfId="76" priority="39"/>
  </conditionalFormatting>
  <conditionalFormatting sqref="J19:K19">
    <cfRule type="containsText" dxfId="75" priority="37" operator="containsText" text="n/a">
      <formula>NOT(ISERROR(SEARCH("n/a",J19)))</formula>
    </cfRule>
    <cfRule type="containsBlanks" dxfId="74" priority="38">
      <formula>LEN(TRIM(J19))=0</formula>
    </cfRule>
  </conditionalFormatting>
  <conditionalFormatting sqref="F43:G43">
    <cfRule type="expression" dxfId="73" priority="10">
      <formula>IF(LEN(F43)-LEN(SUBSTITUTE(F43,".",""))=3,FALSE,TRUE)</formula>
    </cfRule>
    <cfRule type="containsText" dxfId="72" priority="34" operator="containsText" text="n/a">
      <formula>NOT(ISERROR(SEARCH("n/a",F43)))</formula>
    </cfRule>
    <cfRule type="containsBlanks" dxfId="71" priority="35">
      <formula>LEN(TRIM(F43))=0</formula>
    </cfRule>
  </conditionalFormatting>
  <conditionalFormatting sqref="F29 F16:F17 F35:F38 F42:G42">
    <cfRule type="duplicateValues" dxfId="70" priority="32"/>
  </conditionalFormatting>
  <conditionalFormatting sqref="G15">
    <cfRule type="expression" dxfId="69" priority="661">
      <formula>IF(LEN(G15)-LEN(SUBSTITUTE(G15,".",""))=3,FALSE,TRUE)</formula>
    </cfRule>
  </conditionalFormatting>
  <conditionalFormatting sqref="G17">
    <cfRule type="expression" dxfId="68" priority="118">
      <formula>IF(LEN(G17)-LEN(SUBSTITUTE(G17,".",""))=3,FALSE,TRUE)</formula>
    </cfRule>
  </conditionalFormatting>
  <conditionalFormatting sqref="G29">
    <cfRule type="expression" dxfId="67" priority="233">
      <formula>IF(LEN(G29)-LEN(SUBSTITUTE(G29,".",""))=3,FALSE,TRUE)</formula>
    </cfRule>
  </conditionalFormatting>
  <conditionalFormatting sqref="G30">
    <cfRule type="expression" dxfId="66" priority="344">
      <formula>IF(LEN(G30)-LEN(SUBSTITUTE(G30,".",""))=3,FALSE,TRUE)</formula>
    </cfRule>
  </conditionalFormatting>
  <conditionalFormatting sqref="G31">
    <cfRule type="expression" dxfId="65" priority="115">
      <formula>IF(LEN(G31)-LEN(SUBSTITUTE(G31,".",""))=3,FALSE,TRUE)</formula>
    </cfRule>
  </conditionalFormatting>
  <conditionalFormatting sqref="G16">
    <cfRule type="expression" dxfId="64" priority="592">
      <formula>IF(LEN(G16)-LEN(SUBSTITUTE(G16,".",""))=3,FALSE,TRUE)</formula>
    </cfRule>
  </conditionalFormatting>
  <conditionalFormatting sqref="G35">
    <cfRule type="expression" dxfId="63" priority="110">
      <formula>IF(LEN(G35)-LEN(SUBSTITUTE(G35,".",""))=3,FALSE,TRUE)</formula>
    </cfRule>
  </conditionalFormatting>
  <conditionalFormatting sqref="G36">
    <cfRule type="expression" dxfId="62" priority="42">
      <formula>IF(LEN(G36)-LEN(SUBSTITUTE(G36,".",""))=3,FALSE,TRUE)</formula>
    </cfRule>
  </conditionalFormatting>
  <conditionalFormatting sqref="G37">
    <cfRule type="expression" dxfId="61" priority="41">
      <formula>IF(LEN(G37)-LEN(SUBSTITUTE(G37,".",""))=3,FALSE,TRUE)</formula>
    </cfRule>
  </conditionalFormatting>
  <conditionalFormatting sqref="G38">
    <cfRule type="expression" dxfId="60" priority="40">
      <formula>IF(LEN(G38)-LEN(SUBSTITUTE(G38,".",""))=3,FALSE,TRUE)</formula>
    </cfRule>
  </conditionalFormatting>
  <conditionalFormatting sqref="G8">
    <cfRule type="expression" dxfId="59" priority="272">
      <formula>IF(LEN(G8)-LEN(SUBSTITUTE(G8,".",""))=3,FALSE,TRUE)</formula>
    </cfRule>
  </conditionalFormatting>
  <conditionalFormatting sqref="J29">
    <cfRule type="cellIs" dxfId="58" priority="8" operator="greaterThan">
      <formula>16777215</formula>
    </cfRule>
    <cfRule type="cellIs" dxfId="57" priority="9" operator="lessThan">
      <formula>5000</formula>
    </cfRule>
  </conditionalFormatting>
  <conditionalFormatting sqref="K29">
    <cfRule type="cellIs" dxfId="56" priority="6" operator="greaterThan">
      <formula>16777215</formula>
    </cfRule>
    <cfRule type="cellIs" dxfId="55" priority="7" operator="lessThan">
      <formula>5000</formula>
    </cfRule>
  </conditionalFormatting>
  <conditionalFormatting sqref="J30:K30">
    <cfRule type="containsText" dxfId="54" priority="3" operator="containsText" text="n/a">
      <formula>NOT(ISERROR(SEARCH("n/a",J30)))</formula>
    </cfRule>
    <cfRule type="containsBlanks" dxfId="53" priority="4">
      <formula>LEN(TRIM(J30))=0</formula>
    </cfRule>
  </conditionalFormatting>
  <conditionalFormatting sqref="J30:K30">
    <cfRule type="duplicateValues" dxfId="52" priority="5"/>
  </conditionalFormatting>
  <conditionalFormatting sqref="J30">
    <cfRule type="expression" dxfId="51" priority="2">
      <formula>IF(LEN(J30)-LEN(SUBSTITUTE(J30,".",""))=3,FALSE,TRUE)</formula>
    </cfRule>
  </conditionalFormatting>
  <conditionalFormatting sqref="K30">
    <cfRule type="expression" dxfId="50" priority="1">
      <formula>IF(LEN(K30)-LEN(SUBSTITUTE(K30,".",""))=3,FALSE,TRUE)</formula>
    </cfRule>
  </conditionalFormatting>
  <dataValidations count="9">
    <dataValidation type="list" allowBlank="1" showInputMessage="1" showErrorMessage="1" sqref="F24:G24 F21:G21" xr:uid="{00000000-0002-0000-0400-000000000000}">
      <formula1>"vmnic0,vmnic1,vmnic2,vmnic3,vmnic4,vmnic5,vmnic6,vmnic7,vmnic8,vmnic9"</formula1>
    </dataValidation>
    <dataValidation type="list" allowBlank="1" showInputMessage="1" showErrorMessage="1" sqref="K16" xr:uid="{00000000-0002-0000-0400-000001000000}">
      <formula1>"n/a,intel-merom,intel-penryn,intel-nehalem,intel-westmere,intel-sandybridge,intel-ivybridge, intel-haswell, amd-rev-e,amd-rev-f,amd-greyhound-no3dnow,amd-greyhound, amd-bulldozer,amd-piledriver"</formula1>
    </dataValidation>
    <dataValidation type="list" allowBlank="1" showInputMessage="1" showErrorMessage="1" sqref="F22:G22" xr:uid="{00000000-0002-0000-0400-000002000000}">
      <formula1>"vmk0"</formula1>
    </dataValidation>
    <dataValidation type="custom" allowBlank="1" showInputMessage="1" showErrorMessage="1" errorTitle="Invalid IP Address" error="Please enter a valid IP Address" sqref="G35:G38 G6:G7 G29:G31 F43:G44 G15:G17" xr:uid="{23002188-381D-E54B-A80C-8131575E75A0}">
      <formula1>IF(ISNUMBER(VALUE(SUBSTITUTE(F6,".",""))),AND(--LEFT(F6,FIND(".",F6)-1)&lt;256,--MID(SUBSTITUTE(F6,".",REPT(" ",99)),99,99)&lt;256,--MID(SUBSTITUTE(F6,".",REPT(" ",99)),198,99)&lt;256,--RIGHT(SUBSTITUTE(F6,".",REPT(" ",99)),99)&lt;256),F6="n/a")</formula1>
    </dataValidation>
    <dataValidation type="list" allowBlank="1" showInputMessage="1" showErrorMessage="1" sqref="F18" xr:uid="{37F560C2-65EC-C14E-A970-BA8F8C527E01}">
      <formula1>"tiny,small,medium,large,xlarge"</formula1>
    </dataValidation>
    <dataValidation type="list" allowBlank="1" showInputMessage="1" showErrorMessage="1" sqref="F39" xr:uid="{00000000-0002-0000-0500-000000000000}">
      <formula1>"small,medium,large"</formula1>
    </dataValidation>
    <dataValidation type="whole" allowBlank="1" showInputMessage="1" showErrorMessage="1" promptTitle="Segment ID Range" prompt="Segment IDs must be between 5000 and 16777215" sqref="J29" xr:uid="{8E55074E-22E3-2A47-99A2-410C6C0BAE09}">
      <formula1>5000</formula1>
      <formula2>16777215</formula2>
    </dataValidation>
    <dataValidation type="whole" allowBlank="1" showInputMessage="1" showErrorMessage="1" promptTitle="Segment ID Range" prompt="Sengment IDs must be between 5000 and 16777215" sqref="K29" xr:uid="{033D7145-1EE2-9341-A956-E98C9F9CF377}">
      <formula1>5000</formula1>
      <formula2>16777215</formula2>
    </dataValidation>
    <dataValidation type="list" allowBlank="1" showInputMessage="1" showErrorMessage="1" errorTitle="Invalid IP Address" error="Please enter a valid IP Address" sqref="J10" xr:uid="{0CFC5D23-0D1E-4A2C-B98A-206F168813B1}">
      <formula1>"Yes,No"</formula1>
    </dataValidation>
  </dataValidations>
  <printOptions horizontalCentered="1"/>
  <pageMargins left="0.5" right="0.5" top="0.5" bottom="0.5" header="0.25" footer="0.25"/>
  <pageSetup scale="39" orientation="portrait" r:id="rId1"/>
  <headerFooter alignWithMargins="0">
    <oddFooter>&amp;L&amp;8http://www.vertex42.com/ExcelTemplates/spring-cleaning-checklist.html</oddFooter>
  </headerFooter>
  <ignoredErrors>
    <ignoredError sqref="H32" evalError="1"/>
    <ignoredError sqref="B20:B21" unlockedFormula="1"/>
    <ignoredError sqref="B7"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21" id="{494CDE26-026C-7F41-AC49-C9500C6F2880}">
            <xm:f>IF((LEFT(G15,FIND("~",SUBSTITUTE(G15,".","~",3))-1))=(LEFT('Hosts and Networks'!D7,FIND("~",SUBSTITUTE('Hosts and Networks'!D7,".","~",3))-1)),FALSE,TRUE)</xm:f>
            <x14:dxf>
              <font>
                <b/>
                <i val="0"/>
                <color rgb="FF9C0006"/>
              </font>
              <fill>
                <patternFill>
                  <bgColor theme="5" tint="0.59996337778862885"/>
                </patternFill>
              </fill>
            </x14:dxf>
          </x14:cfRule>
          <xm:sqref>G15</xm:sqref>
        </x14:conditionalFormatting>
        <x14:conditionalFormatting xmlns:xm="http://schemas.microsoft.com/office/excel/2006/main">
          <x14:cfRule type="expression" priority="20" id="{85DC85B8-4A7C-464D-825A-CCD75E99FF5E}">
            <xm:f>IF((LEFT(G17,FIND("~",SUBSTITUTE(G17,".","~",3))-1))=(LEFT('Hosts and Networks'!D7,FIND("~",SUBSTITUTE('Hosts and Networks'!D7,".","~",3))-1)),FALSE,TRUE)</xm:f>
            <x14:dxf>
              <font>
                <b/>
                <i val="0"/>
                <color rgb="FF9C0006"/>
              </font>
              <fill>
                <patternFill>
                  <bgColor theme="5" tint="0.59996337778862885"/>
                </patternFill>
              </fill>
            </x14:dxf>
          </x14:cfRule>
          <xm:sqref>G17</xm:sqref>
        </x14:conditionalFormatting>
        <x14:conditionalFormatting xmlns:xm="http://schemas.microsoft.com/office/excel/2006/main">
          <x14:cfRule type="expression" priority="17" id="{BBF81E8B-70EA-7346-AC07-791118679279}">
            <xm:f>IF((LEFT(G29,FIND("~",SUBSTITUTE(G29,".","~",3))-1))=(LEFT('Hosts and Networks'!D7,FIND("~",SUBSTITUTE('Hosts and Networks'!D7,".","~",3))-1)),FALSE,TRUE)</xm:f>
            <x14:dxf>
              <font>
                <b/>
                <i val="0"/>
                <color rgb="FF9C0006"/>
              </font>
              <fill>
                <patternFill>
                  <bgColor theme="5" tint="0.59996337778862885"/>
                </patternFill>
              </fill>
            </x14:dxf>
          </x14:cfRule>
          <xm:sqref>G29</xm:sqref>
        </x14:conditionalFormatting>
        <x14:conditionalFormatting xmlns:xm="http://schemas.microsoft.com/office/excel/2006/main">
          <x14:cfRule type="expression" priority="16" id="{209DE953-EBBF-7B4F-B701-AF093962B882}">
            <xm:f>IF((LEFT(G30,FIND("~",SUBSTITUTE(G30,".","~",3))-1))=(LEFT('Hosts and Networks'!D7,FIND("~",SUBSTITUTE('Hosts and Networks'!D7,".","~",3))-1)),FALSE,TRUE)</xm:f>
            <x14:dxf>
              <font>
                <b/>
                <i val="0"/>
                <color rgb="FF9C0006"/>
              </font>
              <fill>
                <patternFill>
                  <bgColor theme="5" tint="0.59996337778862885"/>
                </patternFill>
              </fill>
            </x14:dxf>
          </x14:cfRule>
          <xm:sqref>G30</xm:sqref>
        </x14:conditionalFormatting>
        <x14:conditionalFormatting xmlns:xm="http://schemas.microsoft.com/office/excel/2006/main">
          <x14:cfRule type="expression" priority="15" id="{FAFA9283-53A7-C142-AE00-5FFA40DE1B52}">
            <xm:f>IF((LEFT(G31,FIND("~",SUBSTITUTE(G31,".","~",3))-1))=(LEFT('Hosts and Networks'!D7,FIND("~",SUBSTITUTE('Hosts and Networks'!D7,".","~",3))-1)),FALSE,TRUE)</xm:f>
            <x14:dxf>
              <font>
                <b/>
                <i val="0"/>
                <color rgb="FF9C0006"/>
              </font>
              <fill>
                <patternFill>
                  <bgColor theme="5" tint="0.59996337778862885"/>
                </patternFill>
              </fill>
            </x14:dxf>
          </x14:cfRule>
          <xm:sqref>G31</xm:sqref>
        </x14:conditionalFormatting>
        <x14:conditionalFormatting xmlns:xm="http://schemas.microsoft.com/office/excel/2006/main">
          <x14:cfRule type="expression" priority="282" id="{15C7ACD0-3DE2-384F-B441-D9FDAEDB58C2}">
            <xm:f>IF((LEFT(G16,FIND("~",SUBSTITUTE(G16,".","~",3))-1))=(LEFT('Hosts and Networks'!D7,FIND("~",SUBSTITUTE('Hosts and Networks'!D7,".","~",3))-1)),FALSE,TRUE)</xm:f>
            <x14:dxf>
              <font>
                <b/>
                <i val="0"/>
                <color rgb="FF9C0006"/>
              </font>
              <fill>
                <patternFill>
                  <bgColor theme="5" tint="0.59996337778862885"/>
                </patternFill>
              </fill>
            </x14:dxf>
          </x14:cfRule>
          <xm:sqref>G16</xm:sqref>
        </x14:conditionalFormatting>
        <x14:conditionalFormatting xmlns:xm="http://schemas.microsoft.com/office/excel/2006/main">
          <x14:cfRule type="expression" priority="14" id="{0F8435E8-1CCF-734E-91AE-DB3049BFCB47}">
            <xm:f>IF((LEFT(G35,FIND("~",SUBSTITUTE(G35,".","~",3))-1))=(LEFT('Hosts and Networks'!D7,FIND("~",SUBSTITUTE('Hosts and Networks'!D7,".","~",3))-1)),FALSE,TRUE)</xm:f>
            <x14:dxf>
              <font>
                <b/>
                <i val="0"/>
                <color rgb="FF9C0006"/>
              </font>
              <fill>
                <patternFill>
                  <bgColor theme="5" tint="0.59996337778862885"/>
                </patternFill>
              </fill>
            </x14:dxf>
          </x14:cfRule>
          <xm:sqref>G35</xm:sqref>
        </x14:conditionalFormatting>
        <x14:conditionalFormatting xmlns:xm="http://schemas.microsoft.com/office/excel/2006/main">
          <x14:cfRule type="expression" priority="13" id="{A94E01A0-C0DF-A04D-AB74-9242E5CBBDDE}">
            <xm:f>IF((LEFT(G36,FIND("~",SUBSTITUTE(G36,".","~",3))-1))=(LEFT('Hosts and Networks'!D7,FIND("~",SUBSTITUTE('Hosts and Networks'!D7,".","~",3))-1)),FALSE,TRUE)</xm:f>
            <x14:dxf>
              <font>
                <b/>
                <i val="0"/>
                <color rgb="FF9C0006"/>
              </font>
              <fill>
                <patternFill>
                  <bgColor theme="5" tint="0.59996337778862885"/>
                </patternFill>
              </fill>
            </x14:dxf>
          </x14:cfRule>
          <xm:sqref>G36</xm:sqref>
        </x14:conditionalFormatting>
        <x14:conditionalFormatting xmlns:xm="http://schemas.microsoft.com/office/excel/2006/main">
          <x14:cfRule type="expression" priority="12" id="{0C629DB1-E88E-ED41-9A01-245E675F4202}">
            <xm:f>IF((LEFT(G37,FIND("~",SUBSTITUTE(G37,".","~",3))-1))=(LEFT('Hosts and Networks'!D7,FIND("~",SUBSTITUTE('Hosts and Networks'!D7,".","~",3))-1)),FALSE,TRUE)</xm:f>
            <x14:dxf>
              <font>
                <b/>
                <i val="0"/>
                <color rgb="FF9C0006"/>
              </font>
              <fill>
                <patternFill>
                  <bgColor theme="5" tint="0.59996337778862885"/>
                </patternFill>
              </fill>
            </x14:dxf>
          </x14:cfRule>
          <xm:sqref>G37</xm:sqref>
        </x14:conditionalFormatting>
        <x14:conditionalFormatting xmlns:xm="http://schemas.microsoft.com/office/excel/2006/main">
          <x14:cfRule type="expression" priority="11" id="{B7CB038F-F245-FE4A-AA77-F17B0FC289C5}">
            <xm:f>IF((LEFT(G38,FIND("~",SUBSTITUTE(G38,".","~",3))-1))=(LEFT('Hosts and Networks'!D7,FIND("~",SUBSTITUTE('Hosts and Networks'!D7,".","~",3))-1)),FALSE,TRUE)</xm:f>
            <x14:dxf>
              <font>
                <b/>
                <i val="0"/>
                <color rgb="FF9C0006"/>
              </font>
              <fill>
                <patternFill>
                  <bgColor theme="5" tint="0.59996337778862885"/>
                </patternFill>
              </fill>
            </x14:dxf>
          </x14:cfRule>
          <xm:sqref>G38</xm:sqref>
        </x14:conditionalFormatting>
        <x14:conditionalFormatting xmlns:xm="http://schemas.microsoft.com/office/excel/2006/main">
          <x14:cfRule type="expression" priority="33" id="{A15390DF-0388-EE45-9A60-A8A87F611E4E}">
            <xm:f>IF((LEFT(F43,FIND("~",SUBSTITUTE(F43,".","~",3))-1))=(LEFT('Hosts and Networks'!D7,FIND("~",SUBSTITUTE('Hosts and Networks'!D7,".","~",3))-1)),FALSE,TRUE)</xm:f>
            <x14:dxf>
              <font>
                <b/>
                <i val="0"/>
                <color rgb="FF9C0006"/>
              </font>
              <fill>
                <patternFill>
                  <bgColor theme="5" tint="0.59996337778862885"/>
                </patternFill>
              </fill>
            </x14:dxf>
          </x14:cfRule>
          <xm:sqref>F43:G43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ABE9-2A73-1B4C-8045-11053F691CB7}">
  <dimension ref="A1:AQ148"/>
  <sheetViews>
    <sheetView zoomScale="120" zoomScaleNormal="120" workbookViewId="0">
      <selection activeCell="E17" sqref="E17"/>
    </sheetView>
  </sheetViews>
  <sheetFormatPr baseColWidth="10" defaultColWidth="8.83203125" defaultRowHeight="15"/>
  <cols>
    <col min="1" max="1" width="2.83203125" style="219" customWidth="1"/>
    <col min="2" max="2" width="34.33203125" customWidth="1"/>
    <col min="3" max="3" width="28" customWidth="1"/>
    <col min="4" max="4" width="26.83203125" customWidth="1"/>
    <col min="5" max="5" width="54.6640625" customWidth="1"/>
    <col min="6" max="43" width="8.83203125" style="219"/>
  </cols>
  <sheetData>
    <row r="1" spans="1:43" s="44" customFormat="1" ht="48" customHeight="1">
      <c r="A1" s="58"/>
      <c r="C1" s="144"/>
      <c r="D1" s="145"/>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row>
    <row r="2" spans="1:43" s="219" customFormat="1" ht="3" customHeight="1">
      <c r="B2" s="218"/>
      <c r="C2" s="218"/>
      <c r="D2" s="218"/>
      <c r="E2" s="218"/>
    </row>
    <row r="3" spans="1:43" s="219" customFormat="1" ht="46" customHeight="1">
      <c r="B3" s="346" t="s">
        <v>425</v>
      </c>
      <c r="C3" s="347"/>
      <c r="D3" s="347"/>
      <c r="E3" s="348"/>
    </row>
    <row r="4" spans="1:43" s="219" customFormat="1" ht="3" customHeight="1">
      <c r="B4" s="218"/>
      <c r="C4" s="218"/>
      <c r="D4" s="218"/>
      <c r="E4" s="218"/>
    </row>
    <row r="5" spans="1:43">
      <c r="B5" s="220"/>
      <c r="C5" s="220"/>
      <c r="D5" s="220"/>
      <c r="E5" s="224"/>
    </row>
    <row r="6" spans="1:43">
      <c r="B6" s="221"/>
      <c r="C6" s="222" t="s">
        <v>392</v>
      </c>
      <c r="D6" s="223" t="s">
        <v>393</v>
      </c>
      <c r="E6" s="224"/>
    </row>
    <row r="7" spans="1:43">
      <c r="B7" t="s">
        <v>394</v>
      </c>
      <c r="C7" s="225" t="s">
        <v>395</v>
      </c>
      <c r="D7" s="225" t="s">
        <v>396</v>
      </c>
      <c r="E7" s="224"/>
    </row>
    <row r="8" spans="1:43">
      <c r="B8" t="s">
        <v>397</v>
      </c>
      <c r="C8" s="225" t="s">
        <v>398</v>
      </c>
      <c r="D8" s="225" t="s">
        <v>399</v>
      </c>
      <c r="E8" s="224"/>
    </row>
    <row r="9" spans="1:43">
      <c r="B9" t="s">
        <v>400</v>
      </c>
      <c r="C9" s="225" t="s">
        <v>401</v>
      </c>
      <c r="D9" s="225" t="s">
        <v>402</v>
      </c>
      <c r="E9" s="224"/>
    </row>
    <row r="10" spans="1:43">
      <c r="B10" s="219"/>
      <c r="C10" s="219"/>
      <c r="D10" s="219"/>
      <c r="E10" s="219"/>
    </row>
    <row r="11" spans="1:43">
      <c r="B11" s="345" t="s">
        <v>403</v>
      </c>
      <c r="C11" s="345"/>
      <c r="D11" s="345"/>
      <c r="E11" s="345"/>
    </row>
    <row r="12" spans="1:43">
      <c r="B12" t="s">
        <v>404</v>
      </c>
      <c r="C12" t="s">
        <v>405</v>
      </c>
      <c r="D12" t="s">
        <v>6</v>
      </c>
      <c r="E12" t="s">
        <v>406</v>
      </c>
    </row>
    <row r="13" spans="1:43">
      <c r="B13" t="s">
        <v>407</v>
      </c>
      <c r="C13" t="str">
        <f>IF(C9&lt;&gt;"",C9,"")</f>
        <v>172.17.13.0/24</v>
      </c>
      <c r="D13" t="str">
        <f>IF(D7&lt;&gt;"",D7,"")</f>
        <v>172.16.13.1</v>
      </c>
      <c r="E13" t="str">
        <f>IF(C13&lt;&gt;"",CONCATENATE("esxcli network ip route ipv4 add -n ",C13," -g ",D13),"")</f>
        <v>esxcli network ip route ipv4 add -n 172.17.13.0/24 -g 172.16.13.1</v>
      </c>
    </row>
    <row r="14" spans="1:43">
      <c r="B14" t="s">
        <v>408</v>
      </c>
      <c r="C14" t="str">
        <f>IF(C8&lt;&gt;"",C8,"")</f>
        <v>172.16.21.0/24</v>
      </c>
      <c r="D14" t="str">
        <f>IF(D7&lt;&gt;"",D7,"")</f>
        <v>172.16.13.1</v>
      </c>
      <c r="E14" t="str">
        <f>IF(C14&lt;&gt;"",CONCATENATE("esxcli network ip route ipv4 add -n ",C14," -g ",D14),"")</f>
        <v>esxcli network ip route ipv4 add -n 172.16.21.0/24 -g 172.16.13.1</v>
      </c>
    </row>
    <row r="15" spans="1:43">
      <c r="B15" s="219"/>
      <c r="C15" s="219"/>
      <c r="D15" s="219"/>
      <c r="E15" s="219"/>
    </row>
    <row r="16" spans="1:43">
      <c r="B16" s="345" t="s">
        <v>409</v>
      </c>
      <c r="C16" s="345"/>
      <c r="D16" s="345"/>
      <c r="E16" s="345"/>
    </row>
    <row r="17" spans="2:5">
      <c r="B17" t="s">
        <v>404</v>
      </c>
      <c r="C17" t="s">
        <v>405</v>
      </c>
      <c r="D17" t="s">
        <v>6</v>
      </c>
      <c r="E17" t="s">
        <v>406</v>
      </c>
    </row>
    <row r="18" spans="2:5">
      <c r="B18" t="s">
        <v>410</v>
      </c>
      <c r="C18" t="str">
        <f>IF(C9&lt;&gt;"",C9,"")</f>
        <v>172.17.13.0/24</v>
      </c>
      <c r="D18" t="str">
        <f>IF(D8&lt;&gt;"",D8,"")</f>
        <v>172.16.21.1</v>
      </c>
      <c r="E18" t="str">
        <f>IF(C18&lt;&gt;"",CONCATENATE("esxcli network ip route ipv4 add -n ",C18," -g ",D18),"")</f>
        <v>esxcli network ip route ipv4 add -n 172.17.13.0/24 -g 172.16.21.1</v>
      </c>
    </row>
    <row r="19" spans="2:5">
      <c r="B19" t="s">
        <v>411</v>
      </c>
      <c r="C19" t="str">
        <f>IF(C7&lt;&gt;"",C7,"")</f>
        <v>172.16.13/24</v>
      </c>
      <c r="D19" t="str">
        <f>IF(D8&lt;&gt;"",D8,"")</f>
        <v>172.16.21.1</v>
      </c>
      <c r="E19" t="str">
        <f>IF(C19&lt;&gt;"",CONCATENATE("esxcli network ip route ipv4 add -n ",C19," -g ",D19),"")</f>
        <v>esxcli network ip route ipv4 add -n 172.16.13/24 -g 172.16.21.1</v>
      </c>
    </row>
    <row r="20" spans="2:5">
      <c r="B20" s="219"/>
      <c r="C20" s="219"/>
      <c r="D20" s="219"/>
      <c r="E20" s="219"/>
    </row>
    <row r="21" spans="2:5">
      <c r="B21" s="345" t="s">
        <v>415</v>
      </c>
      <c r="C21" s="345"/>
      <c r="D21" s="345"/>
      <c r="E21" s="345"/>
    </row>
    <row r="22" spans="2:5">
      <c r="B22" t="s">
        <v>404</v>
      </c>
      <c r="C22" t="s">
        <v>405</v>
      </c>
      <c r="D22" t="s">
        <v>6</v>
      </c>
      <c r="E22" t="s">
        <v>406</v>
      </c>
    </row>
    <row r="23" spans="2:5">
      <c r="B23" t="s">
        <v>412</v>
      </c>
      <c r="C23" t="str">
        <f>IF(C7&lt;&gt;"",C7,"")</f>
        <v>172.16.13/24</v>
      </c>
      <c r="D23" t="str">
        <f>IF(D9&lt;&gt;"",D9,"")</f>
        <v>172.17.13.1</v>
      </c>
      <c r="E23" t="str">
        <f>IF(C23&lt;&gt;"",CONCATENATE("esxcli network ip route ipv4 add -n ",C23," -g ",D23),"")</f>
        <v>esxcli network ip route ipv4 add -n 172.16.13/24 -g 172.17.13.1</v>
      </c>
    </row>
    <row r="24" spans="2:5">
      <c r="B24" t="s">
        <v>413</v>
      </c>
      <c r="C24" t="str">
        <f>IF(C8&lt;&gt;"",C8,"")</f>
        <v>172.16.21.0/24</v>
      </c>
      <c r="D24" t="str">
        <f>IF(D18&lt;&gt;"",D18,"")</f>
        <v>172.16.21.1</v>
      </c>
      <c r="E24" t="str">
        <f>IF(C24&lt;&gt;"",CONCATENATE("esxcli network ip route ipv4 add -n ",C24," -g ",D24),"")</f>
        <v>esxcli network ip route ipv4 add -n 172.16.21.0/24 -g 172.16.21.1</v>
      </c>
    </row>
    <row r="25" spans="2:5" s="219" customFormat="1"/>
    <row r="26" spans="2:5" s="219" customFormat="1"/>
    <row r="27" spans="2:5" s="219" customFormat="1"/>
    <row r="28" spans="2:5" s="219" customFormat="1"/>
    <row r="29" spans="2:5" s="219" customFormat="1"/>
    <row r="30" spans="2:5" s="219" customFormat="1"/>
    <row r="31" spans="2:5" s="219" customFormat="1"/>
    <row r="32" spans="2:5" s="219" customFormat="1"/>
    <row r="33" s="219" customFormat="1"/>
    <row r="34" s="219" customFormat="1"/>
    <row r="35" s="219" customFormat="1"/>
    <row r="36" s="219" customFormat="1"/>
    <row r="37" s="219" customFormat="1"/>
    <row r="38" s="219" customFormat="1"/>
    <row r="39" s="219" customFormat="1"/>
    <row r="40" s="219" customFormat="1"/>
    <row r="41" s="219" customFormat="1"/>
    <row r="42" s="219" customFormat="1"/>
    <row r="43" s="219" customFormat="1"/>
    <row r="44" s="219" customFormat="1"/>
    <row r="45" s="219" customFormat="1"/>
    <row r="46" s="219" customFormat="1"/>
    <row r="47" s="219" customFormat="1"/>
    <row r="48" s="219" customFormat="1"/>
    <row r="49" s="219" customFormat="1"/>
    <row r="50" s="219" customFormat="1"/>
    <row r="51" s="219" customFormat="1"/>
    <row r="52" s="219" customFormat="1"/>
    <row r="53" s="219" customFormat="1"/>
    <row r="54" s="219" customFormat="1"/>
    <row r="55" s="219" customFormat="1"/>
    <row r="56" s="219" customFormat="1"/>
    <row r="57" s="219" customFormat="1"/>
    <row r="58" s="219" customFormat="1"/>
    <row r="59" s="219" customFormat="1"/>
    <row r="60" s="219" customFormat="1"/>
    <row r="61" s="219" customFormat="1"/>
    <row r="62" s="219" customFormat="1"/>
    <row r="63" s="219" customFormat="1"/>
    <row r="64" s="219" customFormat="1"/>
    <row r="65" s="219" customFormat="1"/>
    <row r="66" s="219" customFormat="1"/>
    <row r="67" s="219" customFormat="1"/>
    <row r="68" s="219" customFormat="1"/>
    <row r="69" s="219" customFormat="1"/>
    <row r="70" s="219" customFormat="1"/>
    <row r="71" s="219" customFormat="1"/>
    <row r="72" s="219" customFormat="1"/>
    <row r="73" s="219" customFormat="1"/>
    <row r="74" s="219" customFormat="1"/>
    <row r="75" s="219" customFormat="1"/>
    <row r="76" s="219" customFormat="1"/>
    <row r="77" s="219" customFormat="1"/>
    <row r="78" s="219" customFormat="1"/>
    <row r="79" s="219" customFormat="1"/>
    <row r="80" s="219" customFormat="1"/>
    <row r="81" s="219" customFormat="1"/>
    <row r="82" s="219" customFormat="1"/>
    <row r="83" s="219" customFormat="1"/>
    <row r="84" s="219" customFormat="1"/>
    <row r="85" s="219" customFormat="1"/>
    <row r="86" s="219" customFormat="1"/>
    <row r="87" s="219" customFormat="1"/>
    <row r="88" s="219" customFormat="1"/>
    <row r="89" s="219" customFormat="1"/>
    <row r="90" s="219" customFormat="1"/>
    <row r="91" s="219" customFormat="1"/>
    <row r="92" s="219" customFormat="1"/>
    <row r="93" s="219" customFormat="1"/>
    <row r="94" s="219" customFormat="1"/>
    <row r="95" s="219" customFormat="1"/>
    <row r="96" s="219" customFormat="1"/>
    <row r="97" s="219" customFormat="1"/>
    <row r="98" s="219" customFormat="1"/>
    <row r="99" s="219" customFormat="1"/>
    <row r="100" s="219" customFormat="1"/>
    <row r="101" s="219" customFormat="1"/>
    <row r="102" s="219" customFormat="1"/>
    <row r="103" s="219" customFormat="1"/>
    <row r="104" s="219" customFormat="1"/>
    <row r="105" s="219" customFormat="1"/>
    <row r="106" s="219" customFormat="1"/>
    <row r="107" s="219" customFormat="1"/>
    <row r="108" s="219" customFormat="1"/>
    <row r="109" s="219" customFormat="1"/>
    <row r="110" s="219" customFormat="1"/>
    <row r="111" s="219" customFormat="1"/>
    <row r="112" s="219" customFormat="1"/>
    <row r="113" s="219" customFormat="1"/>
    <row r="114" s="219" customFormat="1"/>
    <row r="115" s="219" customFormat="1"/>
    <row r="116" s="219" customFormat="1"/>
    <row r="117" s="219" customFormat="1"/>
    <row r="118" s="219" customFormat="1"/>
    <row r="119" s="219" customFormat="1"/>
    <row r="120" s="219" customFormat="1"/>
    <row r="121" s="219" customFormat="1"/>
    <row r="122" s="219" customFormat="1"/>
    <row r="123" s="219" customFormat="1"/>
    <row r="124" s="219" customFormat="1"/>
    <row r="125" s="219" customFormat="1"/>
    <row r="126" s="219" customFormat="1"/>
    <row r="127" s="219" customFormat="1"/>
    <row r="128" s="219" customFormat="1"/>
    <row r="129" s="219" customFormat="1"/>
    <row r="130" s="219" customFormat="1"/>
    <row r="131" s="219" customFormat="1"/>
    <row r="132" s="219" customFormat="1"/>
    <row r="133" s="219" customFormat="1"/>
    <row r="134" s="219" customFormat="1"/>
    <row r="135" s="219" customFormat="1"/>
    <row r="136" s="219" customFormat="1"/>
    <row r="137" s="219" customFormat="1"/>
    <row r="138" s="219" customFormat="1"/>
    <row r="139" s="219" customFormat="1"/>
    <row r="140" s="219" customFormat="1"/>
    <row r="141" s="219" customFormat="1"/>
    <row r="142" s="219" customFormat="1"/>
    <row r="143" s="219" customFormat="1"/>
    <row r="144" s="219" customFormat="1"/>
    <row r="145" s="219" customFormat="1"/>
    <row r="146" s="219" customFormat="1"/>
    <row r="147" s="219" customFormat="1"/>
    <row r="148" s="219" customFormat="1"/>
  </sheetData>
  <sheetProtection sheet="1" objects="1" scenarios="1"/>
  <mergeCells count="4">
    <mergeCell ref="B11:E11"/>
    <mergeCell ref="B16:E16"/>
    <mergeCell ref="B21:E21"/>
    <mergeCell ref="B3:E3"/>
  </mergeCells>
  <pageMargins left="0.7" right="0.7" top="0.75" bottom="0.75" header="0.3" footer="0.3"/>
  <pageSetup orientation="portrait"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87"/>
  <sheetViews>
    <sheetView showZeros="0" zoomScale="135" zoomScaleNormal="135" zoomScalePageLayoutView="125" workbookViewId="0"/>
  </sheetViews>
  <sheetFormatPr baseColWidth="10" defaultColWidth="8.83203125" defaultRowHeight="15"/>
  <cols>
    <col min="1" max="1" width="172.6640625" style="1" customWidth="1"/>
    <col min="2" max="2" width="42.33203125" style="1" customWidth="1"/>
    <col min="3" max="16384" width="8.83203125" style="1"/>
  </cols>
  <sheetData>
    <row r="1" spans="1:1">
      <c r="A1" s="1" t="s">
        <v>188</v>
      </c>
    </row>
    <row r="2" spans="1:1">
      <c r="A2" s="5" t="str">
        <f>"workflowName.vcf-ems=workflowconfig/workflowspec-ems.json"</f>
        <v>workflowName.vcf-ems=workflowconfig/workflowspec-ems.json</v>
      </c>
    </row>
    <row r="3" spans="1:1" s="6" customFormat="1">
      <c r="A3" s="5" t="str">
        <f>"CeipEnabled=false"</f>
        <v>CeipEnabled=false</v>
      </c>
    </row>
    <row r="4" spans="1:1" s="6" customFormat="1">
      <c r="A4" s="5" t="str">
        <f>"workflowVersion.vcf-ems="&amp;RIGHT('Prerequisite Checklist'!G3,5)</f>
        <v>workflowVersion.vcf-ems=3.7.2</v>
      </c>
    </row>
    <row r="5" spans="1:1" s="6" customFormat="1"/>
    <row r="6" spans="1:1" s="2" customFormat="1">
      <c r="A6" s="2" t="s">
        <v>74</v>
      </c>
    </row>
    <row r="7" spans="1:1" s="2" customFormat="1">
      <c r="A7" s="2" t="s">
        <v>421</v>
      </c>
    </row>
    <row r="8" spans="1:1" s="2" customFormat="1">
      <c r="A8" s="4" t="str">
        <f>"cloud-subscription-license@key="</f>
        <v>cloud-subscription-license@key=</v>
      </c>
    </row>
    <row r="9" spans="1:1" s="2" customFormat="1">
      <c r="A9" s="2" t="s">
        <v>141</v>
      </c>
    </row>
    <row r="10" spans="1:1" s="2" customFormat="1">
      <c r="A10" s="4" t="str">
        <f>IF('Management Workloads'!L6="n/a","vcloud-suite-license@key=","vcloud-suite-license@key="&amp;'Management Workloads'!L6)</f>
        <v>vcloud-suite-license@key=</v>
      </c>
    </row>
    <row r="11" spans="1:1">
      <c r="A11" s="1" t="s">
        <v>148</v>
      </c>
    </row>
    <row r="12" spans="1:1">
      <c r="A12" s="5" t="str">
        <f>IF('Management Workloads'!L8="n/a","mgmt-vcenter-6-license@key=","mgmt-vcenter-6-license@key="&amp;'Management Workloads'!L8)</f>
        <v>mgmt-vcenter-6-license@key=</v>
      </c>
    </row>
    <row r="13" spans="1:1">
      <c r="A13" s="1" t="s">
        <v>149</v>
      </c>
    </row>
    <row r="14" spans="1:1" s="2" customFormat="1">
      <c r="A14" s="4" t="str">
        <f>IF('Management Workloads'!L10="n/a","nsx-license@key=","nsx-license@key="&amp;'Management Workloads'!L10)</f>
        <v>nsx-license@key=</v>
      </c>
    </row>
    <row r="15" spans="1:1" s="9" customFormat="1">
      <c r="A15" s="4" t="str">
        <f>IF('Management Workloads'!L7="n/a","vsan-license@key=","vsan-license@key="&amp;'Management Workloads'!L7)</f>
        <v>vsan-license@key=</v>
      </c>
    </row>
    <row r="16" spans="1:1" s="9" customFormat="1">
      <c r="A16" s="4" t="str">
        <f>IF('Management Workloads'!L18="n/a","log-insight-license@key=","log-insight-license@key="&amp;'Management Workloads'!L18)</f>
        <v>log-insight-license@key=</v>
      </c>
    </row>
    <row r="17" spans="1:1" s="9" customFormat="1">
      <c r="A17" s="4" t="str">
        <f>IF('Management Workloads'!L15="n/a","sddc-manager-license@key=","sddc-manager-license@key="&amp;'Management Workloads'!L15)</f>
        <v>sddc-manager-license@key=</v>
      </c>
    </row>
    <row r="18" spans="1:1" s="9" customFormat="1"/>
    <row r="19" spans="1:1" s="2" customFormat="1">
      <c r="A19" s="2" t="s">
        <v>76</v>
      </c>
    </row>
    <row r="20" spans="1:1" s="2" customFormat="1">
      <c r="A20" s="2" t="s">
        <v>68</v>
      </c>
    </row>
    <row r="21" spans="1:1">
      <c r="A21" s="5" t="str">
        <f>IF('Deploy Parameters'!G8="n/a","ntp-server@address=","ntp-server@address="&amp;'Deploy Parameters'!G8)</f>
        <v>ntp-server@address=172.16.11.253</v>
      </c>
    </row>
    <row r="22" spans="1:1">
      <c r="A22" s="5" t="str">
        <f>IF('Deploy Parameters'!G9="n/a","remote-site-ntp-server@address=","remote-site-ntp-server@address="&amp;'Deploy Parameters'!G9)</f>
        <v>remote-site-ntp-server@address=</v>
      </c>
    </row>
    <row r="24" spans="1:1">
      <c r="A24" s="1" t="s">
        <v>240</v>
      </c>
    </row>
    <row r="25" spans="1:1">
      <c r="A25" s="5" t="str">
        <f>IF('Deploy Parameters'!J6="n/a","ldapADIdentitySource.domainName=","ldapADIdentitySource.domainName="&amp;'Deploy Parameters'!J6)</f>
        <v>ldapADIdentitySource.domainName=sfo01.rainpole.local</v>
      </c>
    </row>
    <row r="26" spans="1:1">
      <c r="A26" s="5" t="str">
        <f>IF('Deploy Parameters'!J6="n/a","ldapADIdentitySource.subDomainPrefix=","ldapADIdentitySource.subDomainPrefix="&amp;'Deploy Parameters'!J6)</f>
        <v>ldapADIdentitySource.subDomainPrefix=sfo01.rainpole.local</v>
      </c>
    </row>
    <row r="27" spans="1:1">
      <c r="A27" s="6"/>
    </row>
    <row r="28" spans="1:1">
      <c r="A28" s="1" t="s">
        <v>162</v>
      </c>
    </row>
    <row r="29" spans="1:1">
      <c r="A29" s="7" t="str">
        <f>IF('Deploy Parameters'!F11="n/a","sso-site-name@value=","sso-site-name@value="&amp;'Deploy Parameters'!F11)</f>
        <v>sso-site-name@value=sfo01</v>
      </c>
    </row>
    <row r="31" spans="1:1">
      <c r="A31" s="1" t="s">
        <v>111</v>
      </c>
    </row>
    <row r="32" spans="1:1">
      <c r="A32" s="5" t="str">
        <f>IF('Deploy Parameters'!J20="n/a","default-network-name=","default-network-name="&amp;'Deploy Parameters'!J20)</f>
        <v>default-network-name=VM Network</v>
      </c>
    </row>
    <row r="35" spans="1:1">
      <c r="A35" s="1" t="s">
        <v>195</v>
      </c>
    </row>
    <row r="36" spans="1:1">
      <c r="A36" s="1" t="s">
        <v>196</v>
      </c>
    </row>
    <row r="37" spans="1:1">
      <c r="A37" s="5" t="str">
        <f>"sddc-manager-root-credentials="&amp;'Users and Groups'!C18</f>
        <v>sddc-manager-root-credentials=</v>
      </c>
    </row>
    <row r="38" spans="1:1">
      <c r="A38" s="5" t="str">
        <f>"sddc-manager-superuser-credentials="&amp;'Users and Groups'!C19</f>
        <v>sddc-manager-superuser-credentials=</v>
      </c>
    </row>
    <row r="39" spans="1:1">
      <c r="A39" s="5" t="str">
        <f>"sddc-manager-restapi-user-credentials="&amp;'Users and Groups'!C20</f>
        <v>sddc-manager-restapi-user-credentials=</v>
      </c>
    </row>
    <row r="40" spans="1:1">
      <c r="A40" s="5" t="str">
        <f>"sddc-manager-automation-sso.username="&amp;'Users and Groups'!B21</f>
        <v>sddc-manager-automation-sso.username=automation</v>
      </c>
    </row>
    <row r="41" spans="1:1">
      <c r="A41" s="5" t="str">
        <f>"sddc-manager-automation-sso.password="&amp;'Users and Groups'!C21</f>
        <v>sddc-manager-automation-sso.password=</v>
      </c>
    </row>
    <row r="43" spans="1:1">
      <c r="A43" s="1" t="s">
        <v>197</v>
      </c>
    </row>
    <row r="44" spans="1:1">
      <c r="A44" s="5" t="str">
        <f>"sddcManagerIp.Address="&amp;'Deploy Parameters'!F43</f>
        <v>sddcManagerIp.Address=172.16.11.60</v>
      </c>
    </row>
    <row r="45" spans="1:1">
      <c r="A45" s="5" t="str">
        <f>"sddcManagerIp.netmask="&amp;'Deploy Parameters'!F44</f>
        <v>sddcManagerIp.netmask=255.255.255.0</v>
      </c>
    </row>
    <row r="46" spans="1:1">
      <c r="A46" s="5" t="str">
        <f>"sddcManager-deployment-vmname="&amp;'Deploy Parameters'!F42</f>
        <v>sddcManager-deployment-vmname=sddc-manager</v>
      </c>
    </row>
    <row r="47" spans="1:1">
      <c r="A47" s="5" t="str">
        <f>"sddcManager-HostPoolName="&amp;'Deploy Parameters'!F45</f>
        <v>sddcManager-HostPoolName=sfo01-networkpool</v>
      </c>
    </row>
    <row r="50" spans="1:1">
      <c r="A50" s="1" t="s">
        <v>73</v>
      </c>
    </row>
    <row r="51" spans="1:1">
      <c r="A51" s="1" t="s">
        <v>26</v>
      </c>
    </row>
    <row r="52" spans="1:1">
      <c r="A52" s="5" t="str">
        <f>"esxi.username="&amp;'Users and Groups'!B8</f>
        <v>esxi.username=root</v>
      </c>
    </row>
    <row r="53" spans="1:1">
      <c r="A53" s="5" t="str">
        <f>"esxi.password="&amp;'Users and Groups'!C8</f>
        <v>esxi.password=</v>
      </c>
    </row>
    <row r="54" spans="1:1">
      <c r="A54" s="6"/>
    </row>
    <row r="55" spans="1:1">
      <c r="A55" s="6" t="s">
        <v>83</v>
      </c>
    </row>
    <row r="56" spans="1:1">
      <c r="A56" s="5" t="str">
        <f>"vcenter-root-credentials@password="&amp;'Users and Groups'!C10</f>
        <v>vcenter-root-credentials@password=</v>
      </c>
    </row>
    <row r="57" spans="1:1">
      <c r="A57" s="6" t="s">
        <v>84</v>
      </c>
    </row>
    <row r="58" spans="1:1">
      <c r="A58" s="5" t="str">
        <f>"vcenter-admin-credentials@password="&amp;'Users and Groups'!C9</f>
        <v>vcenter-admin-credentials@password=</v>
      </c>
    </row>
    <row r="59" spans="1:1">
      <c r="A59" s="6" t="s">
        <v>213</v>
      </c>
    </row>
    <row r="60" spans="1:1">
      <c r="A60" s="5" t="str">
        <f>"auto-sso-admin.username="&amp;'Users and Groups'!B21</f>
        <v>auto-sso-admin.username=automation</v>
      </c>
    </row>
    <row r="61" spans="1:1">
      <c r="A61" s="5" t="str">
        <f>"auto-sso-admin.password="&amp;'Users and Groups'!C21</f>
        <v>auto-sso-admin.password=</v>
      </c>
    </row>
    <row r="62" spans="1:1">
      <c r="A62" s="6"/>
    </row>
    <row r="63" spans="1:1">
      <c r="A63" s="6" t="s">
        <v>85</v>
      </c>
    </row>
    <row r="64" spans="1:1">
      <c r="A64" s="5" t="str">
        <f>"nsx-admin-credentials@password="&amp;'Users and Groups'!C11</f>
        <v>nsx-admin-credentials@password=</v>
      </c>
    </row>
    <row r="65" spans="1:1">
      <c r="A65" s="5" t="str">
        <f>"nsx-edge-cli-credentials@password="&amp;'Users and Groups'!C13</f>
        <v>nsx-edge-cli-credentials@password=</v>
      </c>
    </row>
    <row r="66" spans="1:1" s="6" customFormat="1">
      <c r="A66" s="5" t="str">
        <f>"nsx-cli-privilege-credentials@password="&amp;'Users and Groups'!C12</f>
        <v>nsx-cli-privilege-credentials@password=</v>
      </c>
    </row>
    <row r="67" spans="1:1">
      <c r="A67" s="6"/>
    </row>
    <row r="68" spans="1:1">
      <c r="A68" s="6" t="s">
        <v>105</v>
      </c>
    </row>
    <row r="69" spans="1:1" ht="16">
      <c r="A69" s="8" t="str">
        <f>"physical-nic-dedicated-to-mgmt-dvs@value="&amp;'Deploy Parameters'!F21</f>
        <v>physical-nic-dedicated-to-mgmt-dvs@value=vmnic1</v>
      </c>
    </row>
    <row r="70" spans="1:1">
      <c r="A70" s="6" t="s">
        <v>106</v>
      </c>
    </row>
    <row r="71" spans="1:1">
      <c r="A71" s="7" t="str">
        <f>"vm-kernel-adapter-management-name@value="&amp;'Deploy Parameters'!F22</f>
        <v>vm-kernel-adapter-management-name@value=vmk0</v>
      </c>
    </row>
    <row r="72" spans="1:1">
      <c r="A72" s="13" t="s">
        <v>178</v>
      </c>
    </row>
    <row r="73" spans="1:1">
      <c r="A73" s="13" t="s">
        <v>151</v>
      </c>
    </row>
    <row r="74" spans="1:1">
      <c r="A74" s="14" t="str">
        <f>IF('Deploy Parameters'!F23="n/a","management-hosts-vss-name@value=","management-hosts-vss-name@value="&amp;'Deploy Parameters'!F23)</f>
        <v>management-hosts-vss-name@value=vSwitch0</v>
      </c>
    </row>
    <row r="75" spans="1:1">
      <c r="A75" s="14" t="str">
        <f>"management-hosts-vmnic="&amp;'Deploy Parameters'!F24</f>
        <v>management-hosts-vmnic=vmnic0</v>
      </c>
    </row>
    <row r="76" spans="1:1">
      <c r="A76" s="6"/>
    </row>
    <row r="77" spans="1:1">
      <c r="A77" s="6" t="s">
        <v>113</v>
      </c>
    </row>
    <row r="78" spans="1:1">
      <c r="A78" s="7" t="str">
        <f>IF('Deploy Parameters'!J9="n/a","management-vsan-datastore-name@value=","management-vsan-datastore-name@value="&amp;'Deploy Parameters'!J9)</f>
        <v>management-vsan-datastore-name@value=sfo01-m01-vsan</v>
      </c>
    </row>
    <row r="79" spans="1:1">
      <c r="A79" s="6" t="s">
        <v>441</v>
      </c>
    </row>
    <row r="80" spans="1:1">
      <c r="A80" s="7" t="str">
        <f>IF('Deploy Parameters'!J10="Yes","enableVsanDeduplication=true",IF('Deploy Parameters'!J10="No","enableVsanDeduplication=false"))</f>
        <v>enableVsanDeduplication=false</v>
      </c>
    </row>
    <row r="81" spans="1:1">
      <c r="A81" s="6"/>
    </row>
    <row r="82" spans="1:1">
      <c r="A82" s="6" t="s">
        <v>335</v>
      </c>
    </row>
    <row r="83" spans="1:1">
      <c r="A83" s="5" t="str">
        <f>IF('Hosts and Networks'!J11="Yes","skipThumbprintValidation=false",IF('Hosts and Networks'!J11="No","skipThumbprintValidation=true"))</f>
        <v>skipThumbprintValidation=true</v>
      </c>
    </row>
    <row r="84" spans="1:1">
      <c r="A84" s="6" t="s">
        <v>336</v>
      </c>
    </row>
    <row r="85" spans="1:1">
      <c r="A85" s="5" t="str">
        <f>IF('Hosts and Networks'!I13="n/a","esxi.mgmt-1.sshThumbprint=","esxi.mgmt-1.sshThumbprint="&amp;'Hosts and Networks'!I13)</f>
        <v>esxi.mgmt-1.sshThumbprint=SHA256:RBA2O5XImupEfJSaoBcYYzc0aR9gWjlkY8VqptIub9w</v>
      </c>
    </row>
    <row r="86" spans="1:1">
      <c r="A86" s="5" t="str">
        <f>IF('Hosts and Networks'!I14="n/a","esxi.mgmt-2.sshThumbprint=","esxi.mgmt-2.sshThumbprint="&amp;'Hosts and Networks'!I14)</f>
        <v>esxi.mgmt-2.sshThumbprint=SHA256:gC6mtEWkCIcYH/AvrP68XTOkynMFVqgN3OsI292dnWE</v>
      </c>
    </row>
    <row r="87" spans="1:1">
      <c r="A87" s="5" t="str">
        <f>IF('Hosts and Networks'!I15="n/a","esxi.mgmt-3.sshThumbprint=","esxi.mgmt-3.sshThumbprint="&amp;'Hosts and Networks'!I15)</f>
        <v>esxi.mgmt-3.sshThumbprint=SHA256:8XZOzXNJrTFV1pAsWcran3EXpvRmA8NbWBZ8UyCII0Q</v>
      </c>
    </row>
    <row r="88" spans="1:1">
      <c r="A88" s="5" t="str">
        <f>IF('Hosts and Networks'!I16="n/a","esxi.mgmt-4.sshThumbprint=","esxi.mgmt-4.sshThumbprint="&amp;'Hosts and Networks'!I16)</f>
        <v>esxi.mgmt-4.sshThumbprint=SHA256:OIPBfY9cc1huP0VLY8zNJLBcAM3UPmDBbzMVZvjmnLo</v>
      </c>
    </row>
    <row r="89" spans="1:1">
      <c r="A89" s="6" t="s">
        <v>337</v>
      </c>
    </row>
    <row r="90" spans="1:1">
      <c r="A90" s="5" t="str">
        <f>IF('Hosts and Networks'!K13="n/a","esxi.mgmt-1.sslThumbprint=","esxi.mgmt-1.sslThumbprint="&amp;'Hosts and Networks'!K13)</f>
        <v>esxi.mgmt-1.sslThumbprint=27:09:80:C3:59:00:73:F0:80:93:15:36:7E:5D:C9:72:69:32:EF:99</v>
      </c>
    </row>
    <row r="91" spans="1:1">
      <c r="A91" s="5" t="str">
        <f>IF('Hosts and Networks'!K14="n/a","esxi.mgmt-2.sslThumbprint=","esxi.mgmt-2.sslThumbprint="&amp;'Hosts and Networks'!K14)</f>
        <v>esxi.mgmt-2.sslThumbprint=E3:33:4D:5B:87:5C:5E:39:B1:06:CA:0B:23:B4:43:BA:1D:AE:8B:AB</v>
      </c>
    </row>
    <row r="92" spans="1:1">
      <c r="A92" s="5" t="str">
        <f>IF('Hosts and Networks'!K15="n/a","esxi.mgmt-3.sslThumbprint=","esxi.mgmt-3.sslThumbprint="&amp;'Hosts and Networks'!K15)</f>
        <v>esxi.mgmt-3.sslThumbprint=EB:A3:F2:55:00:46:EE:2B:9F:89:3D:A3:5A:A8:65:6B:A3:77:57:87</v>
      </c>
    </row>
    <row r="93" spans="1:1">
      <c r="A93" s="5" t="str">
        <f>IF('Hosts and Networks'!K16="n/a","esxi.mgmt-4.sslThumbprint=","esxi.mgmt-4.sslThumbprint="&amp;'Hosts and Networks'!K16)</f>
        <v>esxi.mgmt-4.sslThumbprint=13:42:5E:6A:B7:1A:3A:5E:5E:AA:54:0E:24:0A:AD:FF:55:FA:14:4D</v>
      </c>
    </row>
    <row r="94" spans="1:1">
      <c r="A94" s="6"/>
    </row>
    <row r="95" spans="1:1">
      <c r="A95" s="1" t="s">
        <v>157</v>
      </c>
    </row>
    <row r="96" spans="1:1">
      <c r="A96" s="5" t="str">
        <f>IF('Hosts and Networks'!H7="n/a","esxi.mgmt-1.address=","esxi.mgmt-1.address="&amp;'Hosts and Networks'!H7)</f>
        <v>esxi.mgmt-1.address=172.16.11.101</v>
      </c>
    </row>
    <row r="97" spans="1:1">
      <c r="A97" s="5" t="str">
        <f>IF('Hosts and Networks'!H6="n/a","esxi.mgmt-1.hostname=","esxi.mgmt-1.hostname="&amp;'Hosts and Networks'!H6)</f>
        <v>esxi.mgmt-1.hostname=sfo01m01esx01</v>
      </c>
    </row>
    <row r="98" spans="1:1">
      <c r="A98" s="5" t="str">
        <f>IF('Hosts and Networks'!I7="n/a","esxi.mgmt-2.address=","esxi.mgmt-2.address="&amp;'Hosts and Networks'!I7)</f>
        <v>esxi.mgmt-2.address=172.16.11.102</v>
      </c>
    </row>
    <row r="99" spans="1:1">
      <c r="A99" s="5" t="str">
        <f>IF('Hosts and Networks'!I6="n/a","esxi.mgmt-2.hostname=","esxi.mgmt-2.hostname="&amp;'Hosts and Networks'!I6)</f>
        <v>esxi.mgmt-2.hostname=sfo01m01esx02</v>
      </c>
    </row>
    <row r="100" spans="1:1">
      <c r="A100" s="5" t="str">
        <f>IF('Hosts and Networks'!J7="n/a","esxi.mgmt-3.address=","esxi.mgmt-3.address="&amp;'Hosts and Networks'!J7)</f>
        <v>esxi.mgmt-3.address=172.16.11.103</v>
      </c>
    </row>
    <row r="101" spans="1:1">
      <c r="A101" s="5" t="str">
        <f>IF('Hosts and Networks'!J6="n/a","esxi.mgmt-3.hostname=","esxi.mgmt-3.hostname="&amp;'Hosts and Networks'!J6)</f>
        <v>esxi.mgmt-3.hostname=sfo01m01esx03</v>
      </c>
    </row>
    <row r="102" spans="1:1">
      <c r="A102" s="5" t="str">
        <f>IF('Hosts and Networks'!K7="n/a","esxi.mgmt-4.address=","esxi.mgmt-4.address="&amp;'Hosts and Networks'!K7)</f>
        <v>esxi.mgmt-4.address=172.16.11.104</v>
      </c>
    </row>
    <row r="103" spans="1:1">
      <c r="A103" s="5" t="str">
        <f>IF('Hosts and Networks'!K6="n/a","esxi.mgmt-4.hostname=","esxi.mgmt-4.hostname="&amp;'Hosts and Networks'!K6)</f>
        <v>esxi.mgmt-4.hostname=sfo01m01esx04</v>
      </c>
    </row>
    <row r="104" spans="1:1">
      <c r="A104" s="5" t="str">
        <f>IF('Hosts and Networks'!L7="n/a","esxi.mgmt-5.address=","esxi.mgmt-5.address="&amp;'Hosts and Networks'!L7)</f>
        <v>esxi.mgmt-5.address=</v>
      </c>
    </row>
    <row r="105" spans="1:1">
      <c r="A105" s="5" t="str">
        <f>IF('Hosts and Networks'!L6="n/a","esxi.mgmt-5.hostname=","esxi.mgmt-5.hostname="&amp;'Hosts and Networks'!L6)</f>
        <v>esxi.mgmt-5.hostname=</v>
      </c>
    </row>
    <row r="106" spans="1:1">
      <c r="A106" s="5" t="str">
        <f>IF('Hosts and Networks'!M7="n/a","esxi.mgmt-6.address=","esxi.mgmt-6.address="&amp;'Hosts and Networks'!M7)</f>
        <v>esxi.mgmt-6.address=</v>
      </c>
    </row>
    <row r="107" spans="1:1">
      <c r="A107" s="5" t="str">
        <f>IF('Hosts and Networks'!M6="n/a","esxi.mgmt-6.hostname=","esxi.mgmt-6.hostname="&amp;'Hosts and Networks'!M6)</f>
        <v>esxi.mgmt-6.hostname=</v>
      </c>
    </row>
    <row r="108" spans="1:1">
      <c r="A108" s="5" t="str">
        <f>(IF('Hosts and Networks'!N7="n/a","esxi.mgmt-7.address=","esxi.mgmt-7.address="&amp;'Hosts and Networks'!N7))</f>
        <v>esxi.mgmt-7.address=</v>
      </c>
    </row>
    <row r="109" spans="1:1">
      <c r="A109" s="5" t="str">
        <f>IF('Hosts and Networks'!N6="n/a","esxi.mgmt-7.hostname=","esxi.mgmt-7.hostname="&amp;'Hosts and Networks'!N6)</f>
        <v>esxi.mgmt-7.hostname=</v>
      </c>
    </row>
    <row r="110" spans="1:1">
      <c r="A110" s="5" t="str">
        <f>IF('Hosts and Networks'!O7="n/a","esxi.mgmt-8.address=","esxi.mgmt-8.address="&amp;'Hosts and Networks'!O7)</f>
        <v>esxi.mgmt-8.address=</v>
      </c>
    </row>
    <row r="111" spans="1:1">
      <c r="A111" s="5" t="str">
        <f>IF('Hosts and Networks'!O6="n/a","esxi.mgmt-8.hostname=","esxi.mgmt-8.hostname="&amp;'Hosts and Networks'!O6)</f>
        <v>esxi.mgmt-8.hostname=</v>
      </c>
    </row>
    <row r="112" spans="1:1">
      <c r="A112" s="1" t="s">
        <v>89</v>
      </c>
    </row>
    <row r="113" spans="1:1">
      <c r="A113" s="5" t="str">
        <f>"mgmtVmotionNetwork.cidrNotation="&amp;'Hosts and Networks'!D8</f>
        <v>mgmtVmotionNetwork.cidrNotation=172.16.12.0/24</v>
      </c>
    </row>
    <row r="114" spans="1:1">
      <c r="A114" s="5" t="str">
        <f>"mgmtVmotionNetwork.gateway="&amp;'Hosts and Networks'!E8</f>
        <v>mgmtVmotionNetwork.gateway=172.16.12.253</v>
      </c>
    </row>
    <row r="115" spans="1:1">
      <c r="A115" s="1" t="s">
        <v>90</v>
      </c>
    </row>
    <row r="116" spans="1:1">
      <c r="A116" s="5" t="str">
        <f>IF('Hosts and Networks'!D9="n/a","mgmtVsanNetwork.cidrNotation=","mgmtVsanNetwork.cidrNotation="&amp;'Hosts and Networks'!D9)</f>
        <v>mgmtVsanNetwork.cidrNotation=172.16.13.0/24</v>
      </c>
    </row>
    <row r="117" spans="1:1">
      <c r="A117" s="5" t="str">
        <f>IF('Hosts and Networks'!E9="n/a","mgmtVsanNetwork.gateway=","mgmtVsanNetwork.gateway="&amp;'Hosts and Networks'!E9)</f>
        <v>mgmtVsanNetwork.gateway=172.16.13.253</v>
      </c>
    </row>
    <row r="118" spans="1:1" s="6" customFormat="1"/>
    <row r="119" spans="1:1">
      <c r="A119" s="1" t="s">
        <v>208</v>
      </c>
    </row>
    <row r="120" spans="1:1">
      <c r="A120" s="5" t="str">
        <f>IF('Hosts and Networks'!E10="n/a","vtepManagementNetwork.gateway=","vtepManagementNetwork.gateway="&amp;'Hosts and Networks'!E10)</f>
        <v>vtepManagementNetwork.gateway=</v>
      </c>
    </row>
    <row r="121" spans="1:1">
      <c r="A121" s="5" t="str">
        <f>"vtepManagementNetwork.primaryDns="&amp;'Deploy Parameters'!G6</f>
        <v>vtepManagementNetwork.primaryDns=172.16.11.4</v>
      </c>
    </row>
    <row r="122" spans="1:1">
      <c r="A122" s="5" t="str">
        <f>IF('Deploy Parameters'!G7="n/a","vtepManagementNetwork.secondaryDns=","vtepManagementNetwork.secondaryDns="&amp;'Deploy Parameters'!G7)</f>
        <v>vtepManagementNetwork.secondaryDns=</v>
      </c>
    </row>
    <row r="123" spans="1:1">
      <c r="A123" s="5" t="str">
        <f>IF('Deploy Parameters'!J6="n/a","vtepManagementNetwork.searchDomain="&amp;'Deploy Parameters'!J6:K6,"vtepManagementNetwork.searchDomain="&amp;'Deploy Parameters'!J6)</f>
        <v>vtepManagementNetwork.searchDomain=sfo01.rainpole.local</v>
      </c>
    </row>
    <row r="124" spans="1:1">
      <c r="A124" s="5" t="str">
        <f>IF('Hosts and Networks'!D10="n/a","vtepManagementNetwork.cidrNotation=","vtepManagementNetwork.cidrNotation="&amp;'Hosts and Networks'!D10)</f>
        <v>vtepManagementNetwork.cidrNotation=</v>
      </c>
    </row>
    <row r="125" spans="1:1">
      <c r="A125" s="6"/>
    </row>
    <row r="126" spans="1:1">
      <c r="A126" s="1" t="s">
        <v>114</v>
      </c>
    </row>
    <row r="127" spans="1:1">
      <c r="A127" s="5" t="str">
        <f>"nsx-management-vtep-ip-pool.startAddress="</f>
        <v>nsx-management-vtep-ip-pool.startAddress=</v>
      </c>
    </row>
    <row r="128" spans="1:1">
      <c r="A128" s="5" t="str">
        <f>"nsx-management-vtep-ip-pool.endAddress="</f>
        <v>nsx-management-vtep-ip-pool.endAddress=</v>
      </c>
    </row>
    <row r="130" spans="1:1">
      <c r="A130" s="3" t="s">
        <v>245</v>
      </c>
    </row>
    <row r="131" spans="1:1">
      <c r="A131" s="12" t="str">
        <f>IF('Deploy Parameters'!J29="n/a","mgmt-nsx-segment-id-range@rangeStart=","mgmt-nsx-segment-id-range@rangeStart="&amp;'Deploy Parameters'!J29)</f>
        <v>mgmt-nsx-segment-id-range@rangeStart=5000</v>
      </c>
    </row>
    <row r="132" spans="1:1">
      <c r="A132" s="12" t="str">
        <f>IF('Deploy Parameters'!K29="n/a","mgmt-nsx-segment-id-range@rangeEnd=","mgmt-nsx-segment-id-range@rangeEnd="&amp;'Deploy Parameters'!K29)</f>
        <v>mgmt-nsx-segment-id-range@rangeEnd=5200</v>
      </c>
    </row>
    <row r="134" spans="1:1">
      <c r="A134" t="s">
        <v>433</v>
      </c>
    </row>
    <row r="135" spans="1:1">
      <c r="A135" s="246" t="str">
        <f>IF('Deploy Parameters'!J30="n/a","nsx-mgmt-multicast-address-range@rangeStartIp=","nsx-mgmt-multicast-address-range@rangeStartIp="&amp;'Deploy Parameters'!J30)</f>
        <v>nsx-mgmt-multicast-address-range@rangeStartIp=239.1.0.0</v>
      </c>
    </row>
    <row r="136" spans="1:1">
      <c r="A136" s="246" t="str">
        <f>IF('Deploy Parameters'!K30="n/a","nsx-mgmt-multicast-address-range@rangeEndIp=","nsx-mgmt-multicast-address-range@rangeEndIp="&amp;'Deploy Parameters'!K30)</f>
        <v>nsx-mgmt-multicast-address-range@rangeEndIp=239.1.255.255</v>
      </c>
    </row>
    <row r="138" spans="1:1">
      <c r="A138" s="1" t="s">
        <v>69</v>
      </c>
    </row>
    <row r="139" spans="1:1">
      <c r="A139" s="5" t="str">
        <f>IF('Deploy Parameters'!J15="n/a","mgmt-datacenter-name=","mgmt-datacenter-name="&amp;'Deploy Parameters'!J15)</f>
        <v>mgmt-datacenter-name=sfo01-m01-dc</v>
      </c>
    </row>
    <row r="140" spans="1:1">
      <c r="A140" s="5" t="str">
        <f>IF('Deploy Parameters'!J16="n/a","management-cluster-name=","management-cluster-name="&amp;'Deploy Parameters'!J16)</f>
        <v>management-cluster-name=sfo01-m01-mgmt01</v>
      </c>
    </row>
    <row r="142" spans="1:1">
      <c r="A142" s="1" t="s">
        <v>70</v>
      </c>
    </row>
    <row r="143" spans="1:1">
      <c r="A143" s="1" t="s">
        <v>71</v>
      </c>
    </row>
    <row r="144" spans="1:1">
      <c r="A144" s="1" t="s">
        <v>72</v>
      </c>
    </row>
    <row r="145" spans="1:1">
      <c r="A145" s="5" t="str">
        <f>IF('Deploy Parameters'!K16="n/a","evc-mode-management-cluster@value=","evc-mode-management-cluster@value="&amp;'Deploy Parameters'!K16)</f>
        <v>evc-mode-management-cluster@value=</v>
      </c>
    </row>
    <row r="147" spans="1:1">
      <c r="A147" s="1" t="s">
        <v>156</v>
      </c>
    </row>
    <row r="148" spans="1:1">
      <c r="A148" s="14" t="str">
        <f>IF('Deploy Parameters'!J25="n/a","management-host-profile-name@value=","management-host-profile-name@value="&amp;'Deploy Parameters'!J25)</f>
        <v>management-host-profile-name@value=sfo01-w01-user-edge</v>
      </c>
    </row>
    <row r="149" spans="1:1">
      <c r="A149" s="15"/>
    </row>
    <row r="150" spans="1:1">
      <c r="A150" s="1" t="s">
        <v>165</v>
      </c>
    </row>
    <row r="151" spans="1:1">
      <c r="A151" s="14" t="str">
        <f>IF('Deploy Parameters'!F11="n/a","mgmt-vm-folder-name@value=","mgmt-vm-folder-name@value="&amp;'Deploy Parameters'!F11&amp;"-m01fd-mgmt")</f>
        <v>mgmt-vm-folder-name@value=sfo01-m01fd-mgmt</v>
      </c>
    </row>
    <row r="152" spans="1:1">
      <c r="A152" s="14" t="str">
        <f>IF('Deploy Parameters'!F11="n/a","nsx-vm-folder-name@value=","nsx-vm-folder-name@value="&amp;'Deploy Parameters'!F11&amp;"-m01fd-nsx")</f>
        <v>nsx-vm-folder-name@value=sfo01-m01fd-nsx</v>
      </c>
    </row>
    <row r="153" spans="1:1">
      <c r="A153" s="14" t="str">
        <f>IF('Deploy Parameters'!F11="n/a","availability-vm-folder-name@value=","availability-vm-folder-name@value="&amp;'Deploy Parameters'!F11&amp;"-m01fd-bcdr")</f>
        <v>availability-vm-folder-name@value=sfo01-m01fd-bcdr</v>
      </c>
    </row>
    <row r="154" spans="1:1">
      <c r="A154" s="14" t="str">
        <f>IF('Deploy Parameters'!F11="n/a","vra-vm-folder-name@value=","vra-vm-folder-name@value="&amp;'Deploy Parameters'!F11&amp;"-m01fd-vra")</f>
        <v>vra-vm-folder-name@value=sfo01-m01fd-vra</v>
      </c>
    </row>
    <row r="155" spans="1:1">
      <c r="A155" s="14" t="str">
        <f>IF('Deploy Parameters'!F11="n/a","vra-ias-vm-folder-name@value=","vra-ias-vm-folder-name@value="&amp;'Deploy Parameters'!F11&amp;"-m01fd-vraias")</f>
        <v>vra-ias-vm-folder-name@value=sfo01-m01fd-vraias</v>
      </c>
    </row>
    <row r="156" spans="1:1">
      <c r="A156" s="14" t="str">
        <f>IF('Deploy Parameters'!F11="n/a","vrops-vm-folder-name@value=","vrops-vm-folder-name@value="&amp;'Deploy Parameters'!F11&amp;"-m01fd-vrops")</f>
        <v>vrops-vm-folder-name@value=sfo01-m01fd-vrops</v>
      </c>
    </row>
    <row r="157" spans="1:1">
      <c r="A157" s="14" t="str">
        <f>IF('Deploy Parameters'!F11="n/a","vrops-rc-vm-folder-name@value=","vrops-rc-vm-folder-name@value="&amp;'Deploy Parameters'!F11&amp;"-m01fd-vropsrc")</f>
        <v>vrops-rc-vm-folder-name@value=sfo01-m01fd-vropsrc</v>
      </c>
    </row>
    <row r="158" spans="1:1">
      <c r="A158" s="14" t="str">
        <f>IF('Deploy Parameters'!F11="n/a","vrli-vm-folder-name@value=","vrli-vm-folder-name@value="&amp;'Deploy Parameters'!F11&amp;"-m01fd-vrli")</f>
        <v>vrli-vm-folder-name@value=sfo01-m01fd-vrli</v>
      </c>
    </row>
    <row r="159" spans="1:1">
      <c r="A159" s="15"/>
    </row>
    <row r="160" spans="1:1">
      <c r="A160" s="1" t="s">
        <v>313</v>
      </c>
    </row>
    <row r="161" spans="1:1">
      <c r="A161" s="14" t="str">
        <f>IF('Deploy Parameters'!J23="n/a","vsphere-resource-pools[1]=","vsphere-resource-pools[1]="&amp;'Deploy Parameters'!J23)</f>
        <v>vsphere-resource-pools[1]=sfo01-w01-sddc-mgmt</v>
      </c>
    </row>
    <row r="162" spans="1:1">
      <c r="A162" s="14" t="str">
        <f>IF('Deploy Parameters'!J24="n/a","vsphere-resource-pools[2]=","vsphere-resource-pools[2]="&amp;'Deploy Parameters'!J24)</f>
        <v>vsphere-resource-pools[2]=sfo01-w01-sddc-edge</v>
      </c>
    </row>
    <row r="163" spans="1:1">
      <c r="A163" s="14" t="str">
        <f>IF('Deploy Parameters'!J25="n/a","vsphere-resource-pools[3]=","vsphere-resource-pools[3]="&amp;'Deploy Parameters'!J25)</f>
        <v>vsphere-resource-pools[3]=sfo01-w01-user-edge</v>
      </c>
    </row>
    <row r="164" spans="1:1">
      <c r="A164" s="14" t="str">
        <f>IF('Deploy Parameters'!J26="n/a","vsphere-resource-pools[4]=","vsphere-resource-pools[4]="&amp;'Deploy Parameters'!J26)</f>
        <v>vsphere-resource-pools[4]=sfo01-w01-user-vm</v>
      </c>
    </row>
    <row r="165" spans="1:1">
      <c r="A165" s="15"/>
    </row>
    <row r="166" spans="1:1">
      <c r="A166" s="1" t="s">
        <v>98</v>
      </c>
    </row>
    <row r="167" spans="1:1" ht="16">
      <c r="A167" s="8" t="str">
        <f>IF('Deploy Parameters'!J18="n/a","vds-management-initial-configuration@dvSwitchName=","vds-management-initial-configuration@dvSwitchName="&amp;'Deploy Parameters'!J18)</f>
        <v>vds-management-initial-configuration@dvSwitchName=sfo01-m01-vds</v>
      </c>
    </row>
    <row r="168" spans="1:1">
      <c r="A168" s="1" t="s">
        <v>127</v>
      </c>
    </row>
    <row r="169" spans="1:1">
      <c r="A169" s="5" t="str">
        <f>IF('Hosts and Networks'!C7="n/a","vds-management-initial-configuration@dvPortGroups[1].name=","vds-management-initial-configuration@dvPortGroups[1].name="&amp;'Hosts and Networks'!C7)</f>
        <v>vds-management-initial-configuration@dvPortGroups[1].name=SDDC-DPortGroup-Mgmt</v>
      </c>
    </row>
    <row r="170" spans="1:1">
      <c r="A170" s="5" t="str">
        <f>IF('Hosts and Networks'!C9="n/a","vds-management-initial-configuration@dvPortGroups[2].name=","vds-management-initial-configuration@dvPortGroups[2].name="&amp;'Hosts and Networks'!C9)</f>
        <v xml:space="preserve">vds-management-initial-configuration@dvPortGroups[2].name=SDDC-DPortGroup-VSAN </v>
      </c>
    </row>
    <row r="171" spans="1:1">
      <c r="A171" s="5" t="str">
        <f>IF('Hosts and Networks'!C8="n/a","vds-management-initial-configuration@dvPortGroups[3].name=","vds-management-initial-configuration@dvPortGroups[3].name="&amp;'Hosts and Networks'!C8)</f>
        <v>vds-management-initial-configuration@dvPortGroups[3].name=SDDC-DPortGroup-vMotion</v>
      </c>
    </row>
    <row r="173" spans="1:1">
      <c r="A173" s="1" t="s">
        <v>27</v>
      </c>
    </row>
    <row r="174" spans="1:1">
      <c r="A174" s="5" t="str">
        <f>IF('Hosts and Networks'!E7="n/a","managementNetwork.gateway=","managementNetwork.gateway="&amp;'Hosts and Networks'!E7)</f>
        <v>managementNetwork.gateway=172.16.11.253</v>
      </c>
    </row>
    <row r="175" spans="1:1">
      <c r="A175" s="5" t="str">
        <f>"managementNetwork.primaryDns="&amp;'Deploy Parameters'!G6</f>
        <v>managementNetwork.primaryDns=172.16.11.4</v>
      </c>
    </row>
    <row r="176" spans="1:1">
      <c r="A176" s="5" t="str">
        <f>IF('Deploy Parameters'!G7="n/a","managementNetwork.secondaryDns=","managementNetwork.secondaryDns="&amp;'Deploy Parameters'!G7)</f>
        <v>managementNetwork.secondaryDns=</v>
      </c>
    </row>
    <row r="177" spans="1:1">
      <c r="A177" s="5" t="str">
        <f>IF('Deploy Parameters'!J6="n/a","managementNetwork.searchDomain="&amp;'Deploy Parameters'!J6,"managementNetwork.searchDomain="&amp;'Deploy Parameters'!J6)</f>
        <v>managementNetwork.searchDomain=sfo01.rainpole.local</v>
      </c>
    </row>
    <row r="178" spans="1:1">
      <c r="A178" s="5" t="str">
        <f>"managementNetwork.cidrNotation="&amp;'Hosts and Networks'!D7</f>
        <v>managementNetwork.cidrNotation=172.16.11.0/24</v>
      </c>
    </row>
    <row r="180" spans="1:1">
      <c r="A180" s="1" t="s">
        <v>29</v>
      </c>
    </row>
    <row r="181" spans="1:1">
      <c r="A181" s="5" t="str">
        <f>"nsx-controllers-ip-pool.startAddress="&amp;'Deploy Parameters'!G30</f>
        <v>nsx-controllers-ip-pool.startAddress=172.16.11.118</v>
      </c>
    </row>
    <row r="182" spans="1:1">
      <c r="A182" s="5" t="str">
        <f>"nsx-controllers-ip-pool.endAddress="&amp;'Deploy Parameters'!G31</f>
        <v>nsx-controllers-ip-pool.endAddress=172.16.11.120</v>
      </c>
    </row>
    <row r="184" spans="1:1">
      <c r="A184" s="1" t="s">
        <v>173</v>
      </c>
    </row>
    <row r="185" spans="1:1">
      <c r="A185" s="5" t="str">
        <f>"nsxControllers.mgmt="&amp;'Deploy Parameters'!F11&amp;"m01nsxc0%s"</f>
        <v>nsxControllers.mgmt=sfo01m01nsxc0%s</v>
      </c>
    </row>
    <row r="186" spans="1:1">
      <c r="A186" s="6"/>
    </row>
    <row r="187" spans="1:1">
      <c r="A187" s="1" t="s">
        <v>77</v>
      </c>
    </row>
    <row r="188" spans="1:1">
      <c r="A188" s="1" t="s">
        <v>79</v>
      </c>
    </row>
    <row r="189" spans="1:1">
      <c r="A189" s="5" t="str">
        <f>"vlan-mgmt-management.vlanId="&amp;'Hosts and Networks'!B7</f>
        <v>vlan-mgmt-management.vlanId=1611</v>
      </c>
    </row>
    <row r="190" spans="1:1">
      <c r="A190" s="1" t="s">
        <v>78</v>
      </c>
    </row>
    <row r="191" spans="1:1">
      <c r="A191" s="5" t="str">
        <f>IF('Hosts and Networks'!B8="n/a","vlan-management-vmotion.vlanId=","vlan-management-vmotion.vlanId="&amp;'Hosts and Networks'!B8)</f>
        <v>vlan-management-vmotion.vlanId=1612</v>
      </c>
    </row>
    <row r="192" spans="1:1">
      <c r="A192" s="1" t="s">
        <v>80</v>
      </c>
    </row>
    <row r="193" spans="1:1">
      <c r="A193" s="5" t="str">
        <f>IF('Hosts and Networks'!B9="n/a","vlan-management-vsan.vlanId=","vlan-management-vsan.vlanId="&amp;'Hosts and Networks'!B9)</f>
        <v>vlan-management-vsan.vlanId=1613</v>
      </c>
    </row>
    <row r="194" spans="1:1">
      <c r="A194" s="1" t="s">
        <v>210</v>
      </c>
    </row>
    <row r="195" spans="1:1">
      <c r="A195" s="5" t="str">
        <f>"vlan-management-vxlan.vlanId="&amp;'Hosts and Networks'!B10</f>
        <v>vlan-management-vxlan.vlanId=1614</v>
      </c>
    </row>
    <row r="197" spans="1:1">
      <c r="A197" s="1" t="s">
        <v>227</v>
      </c>
    </row>
    <row r="198" spans="1:1">
      <c r="A198" s="5" t="str">
        <f>IF('Hosts and Networks'!I8="n/a","inclusion-range-start-vmotion01=","inclusion-range-start-vmotion01="&amp;'Hosts and Networks'!I8)</f>
        <v>inclusion-range-start-vmotion01=172.16.12.101</v>
      </c>
    </row>
    <row r="199" spans="1:1">
      <c r="A199" s="5" t="str">
        <f>IF('Hosts and Networks'!K8="n/a","inclusion-range-end-vmotion01=","inclusion-range-end-vmotion01="&amp;'Hosts and Networks'!K8)</f>
        <v>inclusion-range-end-vmotion01=172.16.12.104</v>
      </c>
    </row>
    <row r="200" spans="1:1">
      <c r="A200" s="5" t="str">
        <f>"inclusion-range-start-vmotion02="</f>
        <v>inclusion-range-start-vmotion02=</v>
      </c>
    </row>
    <row r="201" spans="1:1">
      <c r="A201" s="5" t="str">
        <f>"inclusion-range-end-vmotion02="</f>
        <v>inclusion-range-end-vmotion02=</v>
      </c>
    </row>
    <row r="202" spans="1:1">
      <c r="A202" s="5" t="str">
        <f>"inclusion-ips-vmotion="</f>
        <v>inclusion-ips-vmotion=</v>
      </c>
    </row>
    <row r="203" spans="1:1">
      <c r="A203" s="5" t="str">
        <f>IF('Hosts and Networks'!I9="n/a","inclusion-range-start-vsan01=","inclusion-range-start-vsan01="&amp;'Hosts and Networks'!I9)</f>
        <v>inclusion-range-start-vsan01=172.16.13.101</v>
      </c>
    </row>
    <row r="204" spans="1:1">
      <c r="A204" s="5" t="str">
        <f>IF('Hosts and Networks'!K9="n/a","inclusion-range-end-vsan01=","inclusion-range-end-vsan01="&amp;'Hosts and Networks'!K9)</f>
        <v>inclusion-range-end-vsan01=172.16.13.104</v>
      </c>
    </row>
    <row r="205" spans="1:1">
      <c r="A205" s="5" t="str">
        <f>"inclusion-range-start-vsan02="</f>
        <v>inclusion-range-start-vsan02=</v>
      </c>
    </row>
    <row r="206" spans="1:1">
      <c r="A206" s="5" t="str">
        <f>"inclusion-range-end-vsan02="</f>
        <v>inclusion-range-end-vsan02=</v>
      </c>
    </row>
    <row r="207" spans="1:1">
      <c r="A207" s="5" t="str">
        <f>"inclusion-ips-vsan="</f>
        <v>inclusion-ips-vsan=</v>
      </c>
    </row>
    <row r="209" spans="1:1">
      <c r="A209" s="1" t="s">
        <v>81</v>
      </c>
    </row>
    <row r="210" spans="1:1">
      <c r="A210" s="1" t="s">
        <v>82</v>
      </c>
    </row>
    <row r="211" spans="1:1">
      <c r="A211" s="5" t="str">
        <f>"vlan-mgmt-management-mtu@mtu="&amp;'Hosts and Networks'!F7</f>
        <v>vlan-mgmt-management-mtu@mtu=1500</v>
      </c>
    </row>
    <row r="212" spans="1:1" s="2" customFormat="1">
      <c r="A212" s="2" t="s">
        <v>120</v>
      </c>
    </row>
    <row r="213" spans="1:1" s="2" customFormat="1">
      <c r="A213" s="4" t="str">
        <f>"vlan-management-vmotion-mtu@mtu="&amp;'Hosts and Networks'!F8</f>
        <v>vlan-management-vmotion-mtu@mtu=9000</v>
      </c>
    </row>
    <row r="214" spans="1:1" s="2" customFormat="1">
      <c r="A214" s="2" t="s">
        <v>121</v>
      </c>
    </row>
    <row r="215" spans="1:1" s="2" customFormat="1">
      <c r="A215" s="4" t="str">
        <f>IF('Hosts and Networks'!F9="n/a","vlan-management-vsan-mtu@mtu=","vlan-management-vsan-mtu@mtu="&amp;'Hosts and Networks'!F9)</f>
        <v>vlan-management-vsan-mtu@mtu=9000</v>
      </c>
    </row>
    <row r="216" spans="1:1" s="2" customFormat="1">
      <c r="A216" s="2" t="s">
        <v>211</v>
      </c>
    </row>
    <row r="217" spans="1:1">
      <c r="A217" s="7" t="str">
        <f>"vds-mtu@mtu="&amp;'Hosts and Networks'!F10</f>
        <v>vds-mtu@mtu=9000</v>
      </c>
    </row>
    <row r="218" spans="1:1">
      <c r="A218" s="2" t="s">
        <v>371</v>
      </c>
    </row>
    <row r="219" spans="1:1">
      <c r="A219" s="7" t="str">
        <f>"dvs-mtu@mtu="&amp;'Deploy Parameters'!J19</f>
        <v>dvs-mtu@mtu=9000</v>
      </c>
    </row>
    <row r="220" spans="1:1" s="6" customFormat="1"/>
    <row r="221" spans="1:1">
      <c r="A221" s="1" t="s">
        <v>28</v>
      </c>
    </row>
    <row r="222" spans="1:1">
      <c r="A222" s="5" t="str">
        <f>"vcenterManagementIp.address="&amp;'Deploy Parameters'!G15</f>
        <v>vcenterManagementIp.address=172.16.11.62</v>
      </c>
    </row>
    <row r="223" spans="1:1">
      <c r="A223" s="5" t="str">
        <f>"vcenterManagementPscIp1.address="&amp;'Deploy Parameters'!G16</f>
        <v>vcenterManagementPscIp1.address=172.16.11.61</v>
      </c>
    </row>
    <row r="224" spans="1:1">
      <c r="A224" s="5" t="str">
        <f>"vcenterComputePscIp1.address="&amp;'Deploy Parameters'!G17</f>
        <v>vcenterComputePscIp1.address=172.16.11.63</v>
      </c>
    </row>
    <row r="225" spans="1:1">
      <c r="A225" s="5" t="str">
        <f>"nsxManagementIp.address="&amp;'Deploy Parameters'!G29</f>
        <v>nsxManagementIp.address=172.16.11.65</v>
      </c>
    </row>
    <row r="226" spans="1:1">
      <c r="A226" s="6"/>
    </row>
    <row r="227" spans="1:1">
      <c r="A227" s="1" t="s">
        <v>75</v>
      </c>
    </row>
    <row r="228" spans="1:1">
      <c r="A228" s="5" t="str">
        <f>"vcenter-mgmt-deployment-vmname="&amp;'Deploy Parameters'!F15</f>
        <v>vcenter-mgmt-deployment-vmname=sfo01m01vc01</v>
      </c>
    </row>
    <row r="229" spans="1:1">
      <c r="A229" s="5" t="str">
        <f>"psc-vcenter-mgmt-deployment-vmname="&amp;'Deploy Parameters'!F16</f>
        <v>psc-vcenter-mgmt-deployment-vmname=sfo01m01psc01</v>
      </c>
    </row>
    <row r="230" spans="1:1">
      <c r="A230" s="5" t="str">
        <f>"nsx-mgmt-deployment-vmname="&amp;'Deploy Parameters'!F29</f>
        <v>nsx-mgmt-deployment-vmname=sfo01m01nsx01</v>
      </c>
    </row>
    <row r="231" spans="1:1">
      <c r="A231" s="5" t="str">
        <f>"psc-vcenter-compute-deployment-vmname="&amp;'Deploy Parameters'!F17</f>
        <v>psc-vcenter-compute-deployment-vmname=sfo01w01psc01</v>
      </c>
    </row>
    <row r="232" spans="1:1" s="6" customFormat="1"/>
    <row r="233" spans="1:1">
      <c r="A233" s="1" t="s">
        <v>163</v>
      </c>
    </row>
    <row r="234" spans="1:1">
      <c r="A234" s="5" t="str">
        <f>"sddc-edge-resource-pool@resourcePoolName="&amp;'Deploy Parameters'!F11&amp;"-w01rp-sddc-edge"</f>
        <v>sddc-edge-resource-pool@resourcePoolName=sfo01-w01rp-sddc-edge</v>
      </c>
    </row>
    <row r="235" spans="1:1">
      <c r="A235" s="5" t="str">
        <f>"user-edge-resource-pool@resourcePoolName="&amp;'Deploy Parameters'!F11&amp;"-w01rp-user-edge"</f>
        <v>user-edge-resource-pool@resourcePoolName=sfo01-w01rp-user-edge</v>
      </c>
    </row>
    <row r="236" spans="1:1">
      <c r="A236" s="5" t="str">
        <f>"user-vm-resource-pool@resourcePoolName="&amp;'Deploy Parameters'!F11&amp;"-w01rp-vm-edge"</f>
        <v>user-vm-resource-pool@resourcePoolName=sfo01-w01rp-vm-edge</v>
      </c>
    </row>
    <row r="239" spans="1:1">
      <c r="A239" s="1" t="s">
        <v>223</v>
      </c>
    </row>
    <row r="240" spans="1:1">
      <c r="A240" s="1" t="s">
        <v>224</v>
      </c>
    </row>
    <row r="241" spans="1:1">
      <c r="A241" s="5" t="str">
        <f>"logInsightMasterIp.address="&amp;'Deploy Parameters'!G36</f>
        <v>logInsightMasterIp.address=172.16.11.11</v>
      </c>
    </row>
    <row r="242" spans="1:1">
      <c r="A242" s="5" t="str">
        <f>"logInsightWorker1Ip.address="&amp;'Deploy Parameters'!G37</f>
        <v>logInsightWorker1Ip.address=172.16.11.12</v>
      </c>
    </row>
    <row r="243" spans="1:1">
      <c r="A243" s="5" t="str">
        <f>"logInsightWorker2Ip.address="&amp;'Deploy Parameters'!G38</f>
        <v>logInsightWorker2Ip.address=172.16.11.13</v>
      </c>
    </row>
    <row r="244" spans="1:1">
      <c r="A244" s="5" t="str">
        <f>"logInsightLoadBalancedIp.address="&amp;'Deploy Parameters'!G35</f>
        <v>logInsightLoadBalancedIp.address=172.16.11.10</v>
      </c>
    </row>
    <row r="245" spans="1:1">
      <c r="A245" s="1" t="s">
        <v>225</v>
      </c>
    </row>
    <row r="246" spans="1:1">
      <c r="A246" s="5" t="str">
        <f>"logInsight-master-deployment-vmname="&amp;'Deploy Parameters'!F36</f>
        <v>logInsight-master-deployment-vmname=sfo01vrli01a</v>
      </c>
    </row>
    <row r="247" spans="1:1">
      <c r="A247" s="5" t="str">
        <f>"logInsight-worker-1-deployment-vmname="&amp;'Deploy Parameters'!F37</f>
        <v>logInsight-worker-1-deployment-vmname=sfo01vrli01b</v>
      </c>
    </row>
    <row r="248" spans="1:1">
      <c r="A248" s="5" t="str">
        <f>"logInsight-worker-2-deployment-vmname="&amp;'Deploy Parameters'!F38</f>
        <v>logInsight-worker-2-deployment-vmname=sfo01vrli01c</v>
      </c>
    </row>
    <row r="249" spans="1:1" s="165" customFormat="1">
      <c r="A249" s="166"/>
    </row>
    <row r="250" spans="1:1">
      <c r="A250" s="1" t="s">
        <v>234</v>
      </c>
    </row>
    <row r="251" spans="1:1">
      <c r="A251" s="5" t="str">
        <f>"log-insight-admin-credentials@password="&amp;'Users and Groups'!C15</f>
        <v>log-insight-admin-credentials@password=</v>
      </c>
    </row>
    <row r="252" spans="1:1">
      <c r="A252" s="1" t="s">
        <v>235</v>
      </c>
    </row>
    <row r="253" spans="1:1">
      <c r="A253" s="5" t="str">
        <f>"log-insight-root-credentials@password="&amp;'Users and Groups'!C16</f>
        <v>log-insight-root-credentials@password=</v>
      </c>
    </row>
    <row r="254" spans="1:1" s="165" customFormat="1">
      <c r="A254" s="166"/>
    </row>
    <row r="255" spans="1:1" s="165" customFormat="1">
      <c r="A255" s="166"/>
    </row>
    <row r="256" spans="1:1">
      <c r="A256" s="1" t="s">
        <v>102</v>
      </c>
    </row>
    <row r="257" spans="1:1">
      <c r="A257" s="1" t="s">
        <v>103</v>
      </c>
    </row>
    <row r="258" spans="1:1">
      <c r="A258" s="5" t="str">
        <f>"local-dns-records@records['vcenterManagementPscIp1']="&amp;'Deploy Parameters'!F16</f>
        <v>local-dns-records@records['vcenterManagementPscIp1']=sfo01m01psc01</v>
      </c>
    </row>
    <row r="259" spans="1:1">
      <c r="A259" s="5" t="str">
        <f>"local-dns-records@records['vcenterManagementIp']="&amp;'Deploy Parameters'!F15</f>
        <v>local-dns-records@records['vcenterManagementIp']=sfo01m01vc01</v>
      </c>
    </row>
    <row r="260" spans="1:1">
      <c r="A260" s="5" t="str">
        <f>"local-dns-records@records['vcenterComputePscIp1']="&amp;'Deploy Parameters'!F17</f>
        <v>local-dns-records@records['vcenterComputePscIp1']=sfo01w01psc01</v>
      </c>
    </row>
    <row r="261" spans="1:1">
      <c r="A261" s="5" t="str">
        <f>"local-dns-records@records['nsxManagementIp']="&amp;'Deploy Parameters'!F29</f>
        <v>local-dns-records@records['nsxManagementIp']=sfo01m01nsx01</v>
      </c>
    </row>
    <row r="262" spans="1:1">
      <c r="A262" s="5" t="str">
        <f>IF('Deploy Parameters'!J7="child","root-dns-records@zoneName="&amp;'Deploy Parameters'!#REF!,"root-dns-records@zoneName="&amp;'Deploy Parameters'!J6)</f>
        <v>root-dns-records@zoneName=sfo01.rainpole.local</v>
      </c>
    </row>
    <row r="263" spans="1:1">
      <c r="A263" s="5" t="str">
        <f>IF('Deploy Parameters'!J6="n/a","local-dns-records@zoneName="&amp;'Deploy Parameters'!J6,"local-dns-records@zoneName="&amp;'Deploy Parameters'!J6)</f>
        <v>local-dns-records@zoneName=sfo01.rainpole.local</v>
      </c>
    </row>
    <row r="265" spans="1:1">
      <c r="A265" s="1" t="s">
        <v>226</v>
      </c>
    </row>
    <row r="266" spans="1:1">
      <c r="A266" s="5" t="str">
        <f>"local-dns-records@records['logInsightLoadBalancedIp']="&amp;'Deploy Parameters'!F35</f>
        <v>local-dns-records@records['logInsightLoadBalancedIp']=sfo01vrli01</v>
      </c>
    </row>
    <row r="267" spans="1:1">
      <c r="A267" s="5" t="str">
        <f>"local-dns-records@records['logInsightMasterIp']="&amp;'Deploy Parameters'!F36</f>
        <v>local-dns-records@records['logInsightMasterIp']=sfo01vrli01a</v>
      </c>
    </row>
    <row r="268" spans="1:1">
      <c r="A268" s="5" t="str">
        <f>"local-dns-records@records['logInsightWorker1Ip']="&amp;'Deploy Parameters'!F37</f>
        <v>local-dns-records@records['logInsightWorker1Ip']=sfo01vrli01b</v>
      </c>
    </row>
    <row r="269" spans="1:1">
      <c r="A269" s="5" t="str">
        <f>"local-dns-records@records['logInsightWorker2Ip']="&amp;'Deploy Parameters'!F38</f>
        <v>local-dns-records@records['logInsightWorker2Ip']=sfo01vrli01c</v>
      </c>
    </row>
    <row r="272" spans="1:1">
      <c r="A272" s="1" t="s">
        <v>386</v>
      </c>
    </row>
    <row r="273" spans="1:1">
      <c r="A273" s="1" t="s">
        <v>387</v>
      </c>
    </row>
    <row r="274" spans="1:1">
      <c r="A274" s="5" t="str">
        <f>"region-a-sso-join="&amp;"No"</f>
        <v>region-a-sso-join=No</v>
      </c>
    </row>
    <row r="275" spans="1:1">
      <c r="A275" s="5" t="str">
        <f>"region-a-psc-mgmt.address="</f>
        <v>region-a-psc-mgmt.address=</v>
      </c>
    </row>
    <row r="276" spans="1:1">
      <c r="A276" s="5" t="str">
        <f>"region-a-vc-psc-username="</f>
        <v>region-a-vc-psc-username=</v>
      </c>
    </row>
    <row r="277" spans="1:1">
      <c r="A277" s="5" t="str">
        <f>"region-a-vc-psc-password="</f>
        <v>region-a-vc-psc-password=</v>
      </c>
    </row>
    <row r="280" spans="1:1">
      <c r="A280" s="1" t="s">
        <v>179</v>
      </c>
    </row>
    <row r="281" spans="1:1" customFormat="1">
      <c r="A281" t="s">
        <v>115</v>
      </c>
    </row>
    <row r="282" spans="1:1">
      <c r="A282" t="s">
        <v>331</v>
      </c>
    </row>
    <row r="283" spans="1:1">
      <c r="A283" s="10" t="str">
        <f>"vcenter-mgmt-deployment@deploymentModel="&amp;'Deploy Parameters'!F18</f>
        <v>vcenter-mgmt-deployment@deploymentModel=small</v>
      </c>
    </row>
    <row r="284" spans="1:1">
      <c r="A284" s="11" t="s">
        <v>180</v>
      </c>
    </row>
    <row r="285" spans="1:1">
      <c r="A285" s="10" t="str">
        <f>"logInsight-deployment@deploymentModel="&amp;'Deploy Parameters'!F39</f>
        <v>logInsight-deployment@deploymentModel=medium</v>
      </c>
    </row>
    <row r="286" spans="1:1">
      <c r="A286" s="3"/>
    </row>
    <row r="287" spans="1:1">
      <c r="A287" s="1" t="s">
        <v>104</v>
      </c>
    </row>
  </sheetData>
  <sheetProtection sheet="1" objects="1" scenarios="1"/>
  <conditionalFormatting sqref="A220:A238 A1:A2 A126:A129 A18:A44 A46:A64 A137:A216 A282:A1048576 A254:A270 A278:A280 A272:A275 A118 A6:A15 A67:A78 A80:A116">
    <cfRule type="beginsWith" dxfId="19" priority="27" operator="beginsWith" text="#">
      <formula>LEFT(A1,LEN("#"))="#"</formula>
    </cfRule>
  </conditionalFormatting>
  <conditionalFormatting sqref="A281 A275:A277">
    <cfRule type="beginsWith" dxfId="18" priority="24" operator="beginsWith" text="#">
      <formula>LEFT(A275,LEN("#"))="#"</formula>
    </cfRule>
  </conditionalFormatting>
  <conditionalFormatting sqref="A119:A125">
    <cfRule type="beginsWith" dxfId="17" priority="23" operator="beginsWith" text="#">
      <formula>LEFT(A119,LEN("#"))="#"</formula>
    </cfRule>
  </conditionalFormatting>
  <conditionalFormatting sqref="A194:A195">
    <cfRule type="beginsWith" dxfId="16" priority="22" operator="beginsWith" text="#">
      <formula>LEFT(A194,LEN("#"))="#"</formula>
    </cfRule>
  </conditionalFormatting>
  <conditionalFormatting sqref="A217">
    <cfRule type="beginsWith" dxfId="15" priority="21" operator="beginsWith" text="#">
      <formula>LEFT(A217,LEN("#"))="#"</formula>
    </cfRule>
  </conditionalFormatting>
  <conditionalFormatting sqref="A239:A249">
    <cfRule type="beginsWith" dxfId="14" priority="20" operator="beginsWith" text="#">
      <formula>LEFT(A239,LEN("#"))="#"</formula>
    </cfRule>
  </conditionalFormatting>
  <conditionalFormatting sqref="A16:A17">
    <cfRule type="beginsWith" dxfId="13" priority="18" operator="beginsWith" text="#">
      <formula>LEFT(A16,LEN("#"))="#"</formula>
    </cfRule>
  </conditionalFormatting>
  <conditionalFormatting sqref="A250:A253">
    <cfRule type="beginsWith" dxfId="12" priority="17" operator="beginsWith" text="#">
      <formula>LEFT(A250,LEN("#"))="#"</formula>
    </cfRule>
  </conditionalFormatting>
  <conditionalFormatting sqref="A130:A132">
    <cfRule type="beginsWith" dxfId="11" priority="13" operator="beginsWith" text="#">
      <formula>LEFT(A130,LEN("#"))="#"</formula>
    </cfRule>
  </conditionalFormatting>
  <conditionalFormatting sqref="A66:XFD66">
    <cfRule type="beginsWith" dxfId="10" priority="12" operator="beginsWith" text="#">
      <formula>LEFT(A66,LEN("#"))="#"</formula>
    </cfRule>
  </conditionalFormatting>
  <conditionalFormatting sqref="A218">
    <cfRule type="beginsWith" dxfId="9" priority="10" operator="beginsWith" text="#">
      <formula>LEFT(A218,LEN("#"))="#"</formula>
    </cfRule>
  </conditionalFormatting>
  <conditionalFormatting sqref="A219">
    <cfRule type="beginsWith" dxfId="8" priority="9" operator="beginsWith" text="#">
      <formula>LEFT(A219,LEN("#"))="#"</formula>
    </cfRule>
  </conditionalFormatting>
  <conditionalFormatting sqref="A65">
    <cfRule type="beginsWith" dxfId="7" priority="8" operator="beginsWith" text="#">
      <formula>LEFT(A65,LEN("#"))="#"</formula>
    </cfRule>
  </conditionalFormatting>
  <conditionalFormatting sqref="A117">
    <cfRule type="beginsWith" dxfId="6" priority="6" operator="beginsWith" text="#">
      <formula>LEFT(A117,LEN("#"))="#"</formula>
    </cfRule>
  </conditionalFormatting>
  <conditionalFormatting sqref="A3:A5">
    <cfRule type="beginsWith" dxfId="5" priority="5" operator="beginsWith" text="#">
      <formula>LEFT(A3,LEN("#"))="#"</formula>
    </cfRule>
  </conditionalFormatting>
  <conditionalFormatting sqref="A133">
    <cfRule type="beginsWith" dxfId="4" priority="4" operator="beginsWith" text="#">
      <formula>LEFT(A133,LEN("#"))="#"</formula>
    </cfRule>
  </conditionalFormatting>
  <conditionalFormatting sqref="A134:A136">
    <cfRule type="beginsWith" dxfId="3" priority="2" operator="beginsWith" text="#">
      <formula>LEFT(A134,LEN("#"))="#"</formula>
    </cfRule>
  </conditionalFormatting>
  <conditionalFormatting sqref="A79">
    <cfRule type="beginsWith" dxfId="2" priority="1" operator="beginsWith" text="#">
      <formula>LEFT(A79,LEN("#"))="#"</formula>
    </cfRule>
  </conditionalFormatting>
  <hyperlinks>
    <hyperlink ref="A78" r:id="rId1" display="management-vsan-datastore-name@value=" xr:uid="{00000000-0004-0000-0700-000000000000}"/>
    <hyperlink ref="A69" r:id="rId2" display="physical-nic-dedicated-to-dvs@value=vmnic1" xr:uid="{00000000-0004-0000-0700-000001000000}"/>
    <hyperlink ref="A71" r:id="rId3" display="vm-kernel-adapter-management-name@value=vmk0" xr:uid="{00000000-0004-0000-0700-000002000000}"/>
    <hyperlink ref="A167" r:id="rId4" display="vds-management-initial-configuration@dvSwitchName&quot;" xr:uid="{00000000-0004-0000-0700-000003000000}"/>
    <hyperlink ref="A29" r:id="rId5" display="sso-site-name@value=" xr:uid="{00000000-0004-0000-0700-000004000000}"/>
    <hyperlink ref="A217" r:id="rId6" display="vds-mtu@mtu" xr:uid="{00000000-0004-0000-0700-000005000000}"/>
    <hyperlink ref="A219" r:id="rId7" display="vds-mtu@mtu" xr:uid="{EC666B29-CFE8-CA42-8681-324E6D44462A}"/>
    <hyperlink ref="A135" r:id="rId8" display="nsx-mgmt-multicast-address-range@rangeStartIp=239.1.0.0" xr:uid="{2C208482-DE98-2E4B-8BD9-A3C3108F82F2}"/>
    <hyperlink ref="A136" r:id="rId9" display="nsx-mgmt-multicast-address-range@rangeEndIp=239.1.255.255" xr:uid="{0169D980-43D5-F84B-834C-6F6F76E31C62}"/>
  </hyperlinks>
  <pageMargins left="0.7" right="0.7" top="0.75" bottom="0.75" header="0.3" footer="0.3"/>
  <pageSetup paperSize="9" orientation="portrait" horizontalDpi="75" verticalDpi="75"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8"/>
  <sheetViews>
    <sheetView zoomScale="115" workbookViewId="0">
      <pane ySplit="1" topLeftCell="A44" activePane="bottomLeft" state="frozen"/>
      <selection pane="bottomLeft" activeCell="A57" sqref="A57:B57"/>
    </sheetView>
  </sheetViews>
  <sheetFormatPr baseColWidth="10" defaultColWidth="11.33203125" defaultRowHeight="15"/>
  <cols>
    <col min="1" max="1" width="11.33203125" style="17"/>
    <col min="2" max="2" width="139.1640625" style="16" customWidth="1"/>
    <col min="23" max="23" width="131.1640625" customWidth="1"/>
  </cols>
  <sheetData>
    <row r="1" spans="1:2" ht="16">
      <c r="A1" s="17" t="s">
        <v>172</v>
      </c>
      <c r="B1" s="16" t="s">
        <v>5</v>
      </c>
    </row>
    <row r="2" spans="1:2" ht="335">
      <c r="A2" s="17">
        <v>43236</v>
      </c>
      <c r="B2" s="16" t="s">
        <v>187</v>
      </c>
    </row>
    <row r="3" spans="1:2" ht="176">
      <c r="A3" s="17">
        <v>43207</v>
      </c>
      <c r="B3" s="16" t="s">
        <v>189</v>
      </c>
    </row>
    <row r="4" spans="1:2" ht="32">
      <c r="A4" s="17">
        <v>43252</v>
      </c>
      <c r="B4" s="16" t="s">
        <v>212</v>
      </c>
    </row>
    <row r="5" spans="1:2" ht="96">
      <c r="A5" s="17">
        <v>43255</v>
      </c>
      <c r="B5" s="16" t="s">
        <v>217</v>
      </c>
    </row>
    <row r="6" spans="1:2" ht="32">
      <c r="A6" s="17">
        <v>43258</v>
      </c>
      <c r="B6" s="16" t="s">
        <v>228</v>
      </c>
    </row>
    <row r="7" spans="1:2" ht="80">
      <c r="A7" s="17">
        <v>43260</v>
      </c>
      <c r="B7" s="16" t="s">
        <v>236</v>
      </c>
    </row>
    <row r="8" spans="1:2" ht="80">
      <c r="A8" s="17">
        <v>43271</v>
      </c>
      <c r="B8" s="16" t="s">
        <v>239</v>
      </c>
    </row>
    <row r="9" spans="1:2" ht="48">
      <c r="A9" s="171">
        <v>43273</v>
      </c>
      <c r="B9" s="16" t="s">
        <v>241</v>
      </c>
    </row>
    <row r="10" spans="1:2" ht="16">
      <c r="A10" s="171">
        <v>43273</v>
      </c>
      <c r="B10" s="16" t="s">
        <v>242</v>
      </c>
    </row>
    <row r="11" spans="1:2" ht="224">
      <c r="A11" s="171">
        <v>43280</v>
      </c>
      <c r="B11" s="16" t="s">
        <v>243</v>
      </c>
    </row>
    <row r="12" spans="1:2" ht="48">
      <c r="A12" s="171">
        <v>43284</v>
      </c>
      <c r="B12" s="16" t="s">
        <v>246</v>
      </c>
    </row>
    <row r="13" spans="1:2" ht="32">
      <c r="A13" s="171">
        <v>43300</v>
      </c>
      <c r="B13" s="16" t="s">
        <v>247</v>
      </c>
    </row>
    <row r="14" spans="1:2" ht="16">
      <c r="A14" s="171">
        <v>43301</v>
      </c>
      <c r="B14" s="16" t="s">
        <v>248</v>
      </c>
    </row>
    <row r="15" spans="1:2" ht="48">
      <c r="A15" s="171">
        <v>43304</v>
      </c>
      <c r="B15" s="16" t="s">
        <v>249</v>
      </c>
    </row>
    <row r="16" spans="1:2" ht="64">
      <c r="A16" s="171">
        <v>43305</v>
      </c>
      <c r="B16" s="16" t="s">
        <v>292</v>
      </c>
    </row>
    <row r="17" spans="1:2" ht="48">
      <c r="A17" s="171">
        <v>43311</v>
      </c>
      <c r="B17" s="16" t="s">
        <v>293</v>
      </c>
    </row>
    <row r="18" spans="1:2" ht="48">
      <c r="A18" s="171">
        <v>43320</v>
      </c>
      <c r="B18" s="16" t="s">
        <v>294</v>
      </c>
    </row>
    <row r="19" spans="1:2" ht="16">
      <c r="A19" s="171">
        <v>43321</v>
      </c>
      <c r="B19" s="16" t="s">
        <v>295</v>
      </c>
    </row>
    <row r="20" spans="1:2" ht="32">
      <c r="A20" s="171">
        <v>43322</v>
      </c>
      <c r="B20" s="16" t="s">
        <v>296</v>
      </c>
    </row>
    <row r="21" spans="1:2" ht="16">
      <c r="A21" s="183">
        <v>43354</v>
      </c>
      <c r="B21" s="16" t="s">
        <v>312</v>
      </c>
    </row>
    <row r="22" spans="1:2" ht="32">
      <c r="A22" s="186">
        <v>43363</v>
      </c>
      <c r="B22" s="16" t="s">
        <v>323</v>
      </c>
    </row>
    <row r="23" spans="1:2" ht="16">
      <c r="A23" s="187">
        <v>43364</v>
      </c>
      <c r="B23" s="16" t="s">
        <v>322</v>
      </c>
    </row>
    <row r="24" spans="1:2" ht="48">
      <c r="A24" s="190">
        <v>43370</v>
      </c>
      <c r="B24" s="16" t="s">
        <v>334</v>
      </c>
    </row>
    <row r="25" spans="1:2" ht="16">
      <c r="A25" s="200">
        <v>43371</v>
      </c>
      <c r="B25" s="16" t="s">
        <v>338</v>
      </c>
    </row>
    <row r="26" spans="1:2" ht="48">
      <c r="A26" s="202">
        <v>43377</v>
      </c>
      <c r="B26" s="16" t="s">
        <v>342</v>
      </c>
    </row>
    <row r="27" spans="1:2" ht="64">
      <c r="A27" s="203">
        <v>43382</v>
      </c>
      <c r="B27" s="16" t="s">
        <v>354</v>
      </c>
    </row>
    <row r="28" spans="1:2" ht="16">
      <c r="A28" s="203">
        <v>43383</v>
      </c>
      <c r="B28" s="16" t="s">
        <v>355</v>
      </c>
    </row>
    <row r="29" spans="1:2" ht="16">
      <c r="A29" s="204">
        <v>43389</v>
      </c>
      <c r="B29" s="16" t="s">
        <v>356</v>
      </c>
    </row>
    <row r="30" spans="1:2" ht="16">
      <c r="A30" s="204">
        <v>43397</v>
      </c>
      <c r="B30" s="16" t="s">
        <v>360</v>
      </c>
    </row>
    <row r="31" spans="1:2" ht="16">
      <c r="A31" s="204">
        <v>43402</v>
      </c>
      <c r="B31" s="16" t="s">
        <v>362</v>
      </c>
    </row>
    <row r="32" spans="1:2" ht="32">
      <c r="A32" s="204">
        <v>43404</v>
      </c>
      <c r="B32" s="16" t="s">
        <v>364</v>
      </c>
    </row>
    <row r="33" spans="1:2" ht="96">
      <c r="A33" s="206">
        <v>43405</v>
      </c>
      <c r="B33" s="16" t="s">
        <v>365</v>
      </c>
    </row>
    <row r="34" spans="1:2" ht="16">
      <c r="A34" s="206">
        <v>43406</v>
      </c>
      <c r="B34" s="16" t="s">
        <v>367</v>
      </c>
    </row>
    <row r="35" spans="1:2" ht="16">
      <c r="A35" s="206">
        <v>43409</v>
      </c>
      <c r="B35" s="16" t="s">
        <v>370</v>
      </c>
    </row>
    <row r="36" spans="1:2" ht="16">
      <c r="A36" s="206">
        <v>43413</v>
      </c>
      <c r="B36" s="16" t="s">
        <v>373</v>
      </c>
    </row>
    <row r="37" spans="1:2" ht="64">
      <c r="A37" s="208">
        <v>43416</v>
      </c>
      <c r="B37" s="16" t="s">
        <v>376</v>
      </c>
    </row>
    <row r="38" spans="1:2" ht="16">
      <c r="A38" s="208">
        <v>43417</v>
      </c>
      <c r="B38" s="16" t="s">
        <v>378</v>
      </c>
    </row>
    <row r="39" spans="1:2" ht="16">
      <c r="A39" s="208">
        <v>43430</v>
      </c>
      <c r="B39" s="16" t="s">
        <v>379</v>
      </c>
    </row>
    <row r="40" spans="1:2" ht="16">
      <c r="A40" s="217">
        <v>43385</v>
      </c>
      <c r="B40" s="16" t="s">
        <v>385</v>
      </c>
    </row>
    <row r="41" spans="1:2" ht="16">
      <c r="A41" s="217">
        <v>43446</v>
      </c>
      <c r="B41" s="16" t="s">
        <v>388</v>
      </c>
    </row>
    <row r="42" spans="1:2" ht="16">
      <c r="A42" s="217">
        <v>43447</v>
      </c>
      <c r="B42" s="16" t="s">
        <v>389</v>
      </c>
    </row>
    <row r="43" spans="1:2" ht="32">
      <c r="A43" s="217">
        <v>43448</v>
      </c>
      <c r="B43" s="16" t="s">
        <v>414</v>
      </c>
    </row>
    <row r="44" spans="1:2" ht="16">
      <c r="A44" s="230">
        <v>43467</v>
      </c>
      <c r="B44" s="16" t="s">
        <v>417</v>
      </c>
    </row>
    <row r="45" spans="1:2" ht="48">
      <c r="A45" s="230">
        <v>43472</v>
      </c>
      <c r="B45" s="16" t="s">
        <v>418</v>
      </c>
    </row>
    <row r="46" spans="1:2" ht="16">
      <c r="A46" s="242">
        <v>43480</v>
      </c>
      <c r="B46" s="16" t="s">
        <v>419</v>
      </c>
    </row>
    <row r="47" spans="1:2" ht="16">
      <c r="A47" s="242">
        <v>43481</v>
      </c>
      <c r="B47" s="16" t="s">
        <v>420</v>
      </c>
    </row>
    <row r="48" spans="1:2" ht="16">
      <c r="A48" s="242">
        <v>43483</v>
      </c>
      <c r="B48" s="16" t="s">
        <v>422</v>
      </c>
    </row>
    <row r="49" spans="1:2" ht="32">
      <c r="A49" s="242">
        <v>43496</v>
      </c>
      <c r="B49" s="16" t="s">
        <v>424</v>
      </c>
    </row>
    <row r="50" spans="1:2" ht="16">
      <c r="A50" s="243">
        <v>43502</v>
      </c>
      <c r="B50" s="16" t="s">
        <v>426</v>
      </c>
    </row>
    <row r="51" spans="1:2" ht="16">
      <c r="A51" s="243">
        <v>43503</v>
      </c>
      <c r="B51" s="16" t="s">
        <v>428</v>
      </c>
    </row>
    <row r="52" spans="1:2" ht="16">
      <c r="A52" s="243">
        <v>43517</v>
      </c>
      <c r="B52" s="16" t="s">
        <v>431</v>
      </c>
    </row>
    <row r="53" spans="1:2" ht="16">
      <c r="A53" s="243">
        <v>43523</v>
      </c>
      <c r="B53" s="16" t="s">
        <v>432</v>
      </c>
    </row>
    <row r="54" spans="1:2" ht="16">
      <c r="A54" s="243">
        <v>43532</v>
      </c>
      <c r="B54" s="16" t="s">
        <v>437</v>
      </c>
    </row>
    <row r="55" spans="1:2" ht="32">
      <c r="A55" s="247">
        <v>43557</v>
      </c>
      <c r="B55" s="16" t="s">
        <v>438</v>
      </c>
    </row>
    <row r="56" spans="1:2" ht="16">
      <c r="A56" s="247">
        <v>43564</v>
      </c>
      <c r="B56" s="16" t="s">
        <v>439</v>
      </c>
    </row>
    <row r="57" spans="1:2" ht="32">
      <c r="A57" s="270">
        <v>43598</v>
      </c>
      <c r="B57" s="16" t="s">
        <v>444</v>
      </c>
    </row>
    <row r="58" spans="1:2" ht="9" customHeight="1">
      <c r="A58" s="18"/>
      <c r="B58" s="19"/>
    </row>
  </sheetData>
  <pageMargins left="0.7" right="0.7" top="0.75" bottom="0.75" header="0.3" footer="0.3"/>
  <pageSetup paperSize="9" orientation="portrait" horizontalDpi="0" verticalDpi="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6A5674E7364043BDA7AE8054A18BFA" ma:contentTypeVersion="6" ma:contentTypeDescription="Create a new document." ma:contentTypeScope="" ma:versionID="f3bf2c5d283e4895e01c70277a1dfa67">
  <xsd:schema xmlns:xsd="http://www.w3.org/2001/XMLSchema" xmlns:xs="http://www.w3.org/2001/XMLSchema" xmlns:p="http://schemas.microsoft.com/office/2006/metadata/properties" xmlns:ns2="027d102c-2a58-4335-9ac9-f4263fb4140c" xmlns:ns3="e9c4760e-fc5f-453e-9cb9-322215ce473c" targetNamespace="http://schemas.microsoft.com/office/2006/metadata/properties" ma:root="true" ma:fieldsID="730c3ad038dd646d5dd2566a9876ea6c" ns2:_="" ns3:_="">
    <xsd:import namespace="027d102c-2a58-4335-9ac9-f4263fb4140c"/>
    <xsd:import namespace="e9c4760e-fc5f-453e-9cb9-322215ce473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7d102c-2a58-4335-9ac9-f4263fb41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c4760e-fc5f-453e-9cb9-322215ce473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D9441E-4163-4C29-A591-891C9204329F}">
  <ds:schemaRefs>
    <ds:schemaRef ds:uri="http://schemas.microsoft.com/sharepoint/v3/contenttype/forms"/>
  </ds:schemaRefs>
</ds:datastoreItem>
</file>

<file path=customXml/itemProps2.xml><?xml version="1.0" encoding="utf-8"?>
<ds:datastoreItem xmlns:ds="http://schemas.openxmlformats.org/officeDocument/2006/customXml" ds:itemID="{8C764FA8-E187-4ABA-86B6-51F1D87DE4F4}">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 ds:uri="027d102c-2a58-4335-9ac9-f4263fb4140c"/>
    <ds:schemaRef ds:uri="http://schemas.openxmlformats.org/package/2006/metadata/core-properties"/>
    <ds:schemaRef ds:uri="e9c4760e-fc5f-453e-9cb9-322215ce473c"/>
  </ds:schemaRefs>
</ds:datastoreItem>
</file>

<file path=customXml/itemProps3.xml><?xml version="1.0" encoding="utf-8"?>
<ds:datastoreItem xmlns:ds="http://schemas.openxmlformats.org/officeDocument/2006/customXml" ds:itemID="{CF83478C-95D3-49D3-8A75-BB3E88411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7d102c-2a58-4335-9ac9-f4263fb4140c"/>
    <ds:schemaRef ds:uri="e9c4760e-fc5f-453e-9cb9-322215ce47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Prerequisite Checklist</vt:lpstr>
      <vt:lpstr>Management Workloads</vt:lpstr>
      <vt:lpstr>Users and Groups</vt:lpstr>
      <vt:lpstr>Hosts and Networks</vt:lpstr>
      <vt:lpstr>Deploy Parameters</vt:lpstr>
      <vt:lpstr>Stretched Cluster Host Routes</vt:lpstr>
      <vt:lpstr>Config_File_Build</vt:lpstr>
      <vt:lpstr>Change Log</vt:lpstr>
      <vt:lpstr>'Deploy Parameters'!Print_Area</vt:lpstr>
      <vt:lpstr>'Users and Groups'!Print_Area</vt:lpstr>
    </vt:vector>
  </TitlesOfParts>
  <Manager/>
  <Company>VMware,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VMware Cloud Foundation</dc:title>
  <dc:subject>Deployment Parameters</dc:subject>
  <dc:creator>Integrated Systems Business Unit</dc:creator>
  <cp:keywords>v3.7.2</cp:keywords>
  <dc:description/>
  <cp:lastModifiedBy>Gary Blake</cp:lastModifiedBy>
  <dcterms:created xsi:type="dcterms:W3CDTF">2015-04-26T05:38:09Z</dcterms:created>
  <dcterms:modified xsi:type="dcterms:W3CDTF">2019-05-13T07:41:52Z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14848">
    <vt:lpwstr>11,26</vt:lpwstr>
  </property>
  <property fmtid="{D5CDD505-2E9C-101B-9397-08002B2CF9AE}" pid="3" name="ContentTypeId">
    <vt:lpwstr>0x010100E56A5674E7364043BDA7AE8054A18BFA</vt:lpwstr>
  </property>
</Properties>
</file>